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2からの統計書作成作業】\PDF出力用\"/>
    </mc:Choice>
  </mc:AlternateContent>
  <bookViews>
    <workbookView xWindow="-2070" yWindow="2460" windowWidth="14250" windowHeight="3000" tabRatio="760"/>
  </bookViews>
  <sheets>
    <sheet name="2-32" sheetId="84" r:id="rId1"/>
    <sheet name="2-33" sheetId="35" r:id="rId2"/>
    <sheet name="2-34" sheetId="53" r:id="rId3"/>
    <sheet name="2-35" sheetId="54" r:id="rId4"/>
    <sheet name="2-36" sheetId="38" r:id="rId5"/>
    <sheet name="2-37" sheetId="39" r:id="rId6"/>
    <sheet name="2-38" sheetId="55" r:id="rId7"/>
    <sheet name="2-39" sheetId="81" r:id="rId8"/>
    <sheet name="2-40" sheetId="58" r:id="rId9"/>
  </sheets>
  <definedNames>
    <definedName name="_xlnm.Print_Area" localSheetId="0">'2-32'!$A$1:$K$62</definedName>
    <definedName name="_xlnm.Print_Area" localSheetId="2">'2-34'!$A$1:$Y$41</definedName>
    <definedName name="_xlnm.Print_Area" localSheetId="3">'2-35'!$A$1:$AY$54</definedName>
    <definedName name="_xlnm.Print_Area" localSheetId="4">'2-36'!$A$1:$U$42</definedName>
    <definedName name="_xlnm.Print_Area" localSheetId="8">'2-40'!$A$1:$L$69</definedName>
  </definedNames>
  <calcPr calcId="162913"/>
</workbook>
</file>

<file path=xl/calcChain.xml><?xml version="1.0" encoding="utf-8"?>
<calcChain xmlns="http://schemas.openxmlformats.org/spreadsheetml/2006/main">
  <c r="S9" i="38" l="1"/>
  <c r="O40" i="38"/>
  <c r="O39" i="38"/>
  <c r="O38" i="38"/>
  <c r="O37" i="38"/>
  <c r="O36" i="38"/>
  <c r="O35" i="38"/>
  <c r="O34" i="38"/>
  <c r="O33" i="38"/>
  <c r="L40" i="38"/>
  <c r="L39" i="38"/>
  <c r="L38" i="38"/>
  <c r="L37" i="38"/>
  <c r="L36" i="38"/>
  <c r="L35" i="38"/>
  <c r="L34" i="38"/>
  <c r="L33" i="38"/>
  <c r="L30" i="38"/>
  <c r="L31" i="38"/>
  <c r="O28" i="38"/>
  <c r="O27" i="38"/>
  <c r="O26" i="38"/>
  <c r="O25" i="38"/>
  <c r="O24" i="38"/>
  <c r="O23" i="38"/>
  <c r="O22" i="38"/>
  <c r="O21" i="38"/>
  <c r="O20" i="38"/>
  <c r="O19" i="38"/>
  <c r="O16" i="38"/>
  <c r="O17" i="38"/>
  <c r="L28" i="38"/>
  <c r="L27" i="38"/>
  <c r="L26" i="38"/>
  <c r="L25" i="38"/>
  <c r="L24" i="38"/>
  <c r="L23" i="38"/>
  <c r="L22" i="38"/>
  <c r="L21" i="38"/>
  <c r="L20" i="38"/>
  <c r="L19" i="38"/>
  <c r="L16" i="38"/>
  <c r="L17" i="38"/>
  <c r="O14" i="38"/>
  <c r="O13" i="38"/>
  <c r="O9" i="38"/>
  <c r="O10" i="38"/>
  <c r="O12" i="38"/>
  <c r="L14" i="38"/>
  <c r="L13" i="38"/>
  <c r="L12" i="38"/>
  <c r="Q30" i="38"/>
  <c r="Q31" i="38"/>
  <c r="P30" i="38"/>
  <c r="P31" i="38"/>
  <c r="N30" i="38"/>
  <c r="N31" i="38"/>
  <c r="M30" i="38"/>
  <c r="M31" i="38"/>
  <c r="Q16" i="38"/>
  <c r="Q17" i="38"/>
  <c r="P16" i="38"/>
  <c r="P17" i="38"/>
  <c r="N16" i="38"/>
  <c r="N17" i="38"/>
  <c r="M16" i="38"/>
  <c r="M17" i="38"/>
  <c r="N9" i="38"/>
  <c r="N10" i="38"/>
  <c r="L9" i="38"/>
  <c r="L10" i="38"/>
  <c r="Q9" i="38"/>
  <c r="Q10" i="38"/>
  <c r="P9" i="38"/>
  <c r="P10" i="38"/>
  <c r="M9" i="38"/>
  <c r="M10" i="38"/>
  <c r="Q7" i="38"/>
  <c r="P7" i="38"/>
  <c r="O7" i="38"/>
  <c r="N7" i="38"/>
  <c r="M7" i="38"/>
  <c r="L7" i="38"/>
  <c r="J7" i="38"/>
  <c r="I7" i="38"/>
  <c r="H7" i="38"/>
  <c r="H31" i="38"/>
  <c r="I30" i="38"/>
  <c r="J30" i="38"/>
  <c r="J31" i="38"/>
  <c r="H30" i="38"/>
  <c r="I31" i="38"/>
  <c r="J17" i="38"/>
  <c r="I17" i="38"/>
  <c r="H17" i="38"/>
  <c r="J16" i="38"/>
  <c r="I16" i="38"/>
  <c r="H16" i="38"/>
  <c r="J10" i="38"/>
  <c r="J9" i="38"/>
  <c r="I10" i="38"/>
  <c r="I9" i="38"/>
  <c r="T9" i="38"/>
  <c r="H10" i="38"/>
  <c r="H9" i="38"/>
  <c r="H34" i="38"/>
  <c r="H35" i="38"/>
  <c r="H36" i="38"/>
  <c r="H37" i="38"/>
  <c r="H38" i="38"/>
  <c r="H39" i="38"/>
  <c r="H40" i="38"/>
  <c r="H33" i="38"/>
  <c r="H20" i="38"/>
  <c r="H21" i="38"/>
  <c r="H22" i="38"/>
  <c r="H23" i="38"/>
  <c r="H24" i="38"/>
  <c r="H25" i="38"/>
  <c r="H26" i="38"/>
  <c r="H27" i="38"/>
  <c r="H28" i="38"/>
  <c r="H19" i="38"/>
  <c r="H13" i="38"/>
  <c r="H14" i="38"/>
  <c r="H12" i="38"/>
  <c r="R12" i="38"/>
  <c r="G6" i="53"/>
  <c r="E6" i="53"/>
  <c r="F28" i="35"/>
  <c r="J60" i="84"/>
  <c r="F20" i="55"/>
  <c r="F6" i="55"/>
  <c r="G8" i="55"/>
  <c r="G7" i="55"/>
  <c r="AE41" i="54"/>
  <c r="AF41" i="54"/>
  <c r="AG41" i="54"/>
  <c r="AD41" i="54"/>
  <c r="AD27" i="54"/>
  <c r="W43" i="54"/>
  <c r="X43" i="54"/>
  <c r="Y43" i="54"/>
  <c r="V43" i="54"/>
  <c r="AD9" i="54"/>
  <c r="R14" i="54"/>
  <c r="K39" i="54"/>
  <c r="L39" i="54"/>
  <c r="M39" i="54"/>
  <c r="J39" i="54"/>
  <c r="E38" i="54"/>
  <c r="F38" i="54"/>
  <c r="G38" i="54"/>
  <c r="D38" i="54"/>
  <c r="G10" i="54"/>
  <c r="F10" i="54"/>
  <c r="E10" i="54"/>
  <c r="D10" i="54"/>
  <c r="AY16" i="54"/>
  <c r="AY8" i="54"/>
  <c r="AX16" i="54"/>
  <c r="AX8" i="54"/>
  <c r="AW16" i="54"/>
  <c r="AW8" i="54"/>
  <c r="AV16" i="54"/>
  <c r="AV8" i="54"/>
  <c r="AS41" i="54"/>
  <c r="AR41" i="54"/>
  <c r="AQ41" i="54"/>
  <c r="AP41" i="54"/>
  <c r="AS35" i="54"/>
  <c r="AR35" i="54"/>
  <c r="AQ35" i="54"/>
  <c r="AP35" i="54"/>
  <c r="AS34" i="54"/>
  <c r="AS15" i="54"/>
  <c r="AR34" i="54"/>
  <c r="AR15" i="54"/>
  <c r="AQ34" i="54"/>
  <c r="AQ15" i="54"/>
  <c r="AP34" i="54"/>
  <c r="AP15" i="54"/>
  <c r="AK41" i="54"/>
  <c r="AL41" i="54"/>
  <c r="AM41" i="54"/>
  <c r="AJ41" i="54"/>
  <c r="AM38" i="54"/>
  <c r="AL38" i="54"/>
  <c r="AK38" i="54"/>
  <c r="AJ38" i="54"/>
  <c r="AM30" i="54"/>
  <c r="AL30" i="54"/>
  <c r="AK30" i="54"/>
  <c r="AJ30" i="54"/>
  <c r="AM28" i="54"/>
  <c r="AM22" i="54"/>
  <c r="AL28" i="54"/>
  <c r="AL22" i="54"/>
  <c r="AK28" i="54"/>
  <c r="AK22" i="54"/>
  <c r="AJ28" i="54"/>
  <c r="AJ22" i="54"/>
  <c r="AM16" i="54"/>
  <c r="AL16" i="54"/>
  <c r="AK16" i="54"/>
  <c r="AJ16" i="54"/>
  <c r="AM13" i="54"/>
  <c r="AL13" i="54"/>
  <c r="AK13" i="54"/>
  <c r="AJ13" i="54"/>
  <c r="AM11" i="54"/>
  <c r="AL11" i="54"/>
  <c r="AK11" i="54"/>
  <c r="AJ11" i="54"/>
  <c r="AM10" i="54"/>
  <c r="AL10" i="54"/>
  <c r="AK10" i="54"/>
  <c r="AJ10" i="54"/>
  <c r="AM9" i="54"/>
  <c r="AL9" i="54"/>
  <c r="AK9" i="54"/>
  <c r="AJ9" i="54"/>
  <c r="AM6" i="54"/>
  <c r="AL6" i="54"/>
  <c r="AK6" i="54"/>
  <c r="AJ6" i="54"/>
  <c r="AG38" i="54"/>
  <c r="AG27" i="54"/>
  <c r="AF38" i="54"/>
  <c r="AF27" i="54"/>
  <c r="AE38" i="54"/>
  <c r="AE27" i="54"/>
  <c r="AD38" i="54"/>
  <c r="AG23" i="54"/>
  <c r="AF23" i="54"/>
  <c r="AE23" i="54"/>
  <c r="AD23" i="54"/>
  <c r="AG21" i="54"/>
  <c r="AF21" i="54"/>
  <c r="AE21" i="54"/>
  <c r="AD21" i="54"/>
  <c r="AG17" i="54"/>
  <c r="AF17" i="54"/>
  <c r="AE17" i="54"/>
  <c r="AD17" i="54"/>
  <c r="AG16" i="54"/>
  <c r="AF16" i="54"/>
  <c r="AE16" i="54"/>
  <c r="AD16" i="54"/>
  <c r="AG14" i="54"/>
  <c r="AF14" i="54"/>
  <c r="AE14" i="54"/>
  <c r="AD14" i="54"/>
  <c r="AG13" i="54"/>
  <c r="AF13" i="54"/>
  <c r="AE13" i="54"/>
  <c r="AD13" i="54"/>
  <c r="AG12" i="54"/>
  <c r="AF12" i="54"/>
  <c r="AE12" i="54"/>
  <c r="AD12" i="54"/>
  <c r="AG11" i="54"/>
  <c r="AF11" i="54"/>
  <c r="AE11" i="54"/>
  <c r="AD11" i="54"/>
  <c r="AG10" i="54"/>
  <c r="AF10" i="54"/>
  <c r="AE10" i="54"/>
  <c r="AD10" i="54"/>
  <c r="AG9" i="54"/>
  <c r="AF9" i="54"/>
  <c r="AE9" i="54"/>
  <c r="AG8" i="54"/>
  <c r="AF8" i="54"/>
  <c r="AE8" i="54"/>
  <c r="AD8" i="54"/>
  <c r="AG7" i="54"/>
  <c r="AF7" i="54"/>
  <c r="AE7" i="54"/>
  <c r="AD7" i="54"/>
  <c r="AG6" i="54"/>
  <c r="AF6" i="54"/>
  <c r="AE6" i="54"/>
  <c r="AD6" i="54"/>
  <c r="AG5" i="54"/>
  <c r="AF5" i="54"/>
  <c r="AE5" i="54"/>
  <c r="AD5" i="54"/>
  <c r="Y49" i="54"/>
  <c r="X49" i="54"/>
  <c r="W49" i="54"/>
  <c r="V49" i="54"/>
  <c r="Y48" i="54"/>
  <c r="X48" i="54"/>
  <c r="W48" i="54"/>
  <c r="V48" i="54"/>
  <c r="Y47" i="54"/>
  <c r="X47" i="54"/>
  <c r="W47" i="54"/>
  <c r="V47" i="54"/>
  <c r="X46" i="54"/>
  <c r="Y46" i="54"/>
  <c r="W46" i="54"/>
  <c r="V46" i="54"/>
  <c r="Y45" i="54"/>
  <c r="X45" i="54"/>
  <c r="W45" i="54"/>
  <c r="V45" i="54"/>
  <c r="Y32" i="54"/>
  <c r="X32" i="54"/>
  <c r="W32" i="54"/>
  <c r="V32" i="54"/>
  <c r="Y28" i="54"/>
  <c r="X28" i="54"/>
  <c r="W28" i="54"/>
  <c r="V28" i="54"/>
  <c r="Y26" i="54"/>
  <c r="X26" i="54"/>
  <c r="W26" i="54"/>
  <c r="V26" i="54"/>
  <c r="Y25" i="54"/>
  <c r="Y16" i="54"/>
  <c r="X25" i="54"/>
  <c r="X16" i="54"/>
  <c r="W25" i="54"/>
  <c r="W16" i="54"/>
  <c r="V25" i="54"/>
  <c r="V16" i="54"/>
  <c r="W5" i="54"/>
  <c r="X5" i="54"/>
  <c r="Y5" i="54"/>
  <c r="V5" i="54"/>
  <c r="Q44" i="54"/>
  <c r="R44" i="54"/>
  <c r="S44" i="54"/>
  <c r="P44" i="54"/>
  <c r="S41" i="54"/>
  <c r="R41" i="54"/>
  <c r="Q41" i="54"/>
  <c r="P41" i="54"/>
  <c r="S40" i="54"/>
  <c r="R40" i="54"/>
  <c r="Q40" i="54"/>
  <c r="P40" i="54"/>
  <c r="S39" i="54"/>
  <c r="R39" i="54"/>
  <c r="Q39" i="54"/>
  <c r="P39" i="54"/>
  <c r="S38" i="54"/>
  <c r="R38" i="54"/>
  <c r="Q38" i="54"/>
  <c r="P38" i="54"/>
  <c r="S37" i="54"/>
  <c r="R37" i="54"/>
  <c r="Q37" i="54"/>
  <c r="P37" i="54"/>
  <c r="S36" i="54"/>
  <c r="R36" i="54"/>
  <c r="Q36" i="54"/>
  <c r="P36" i="54"/>
  <c r="S32" i="54"/>
  <c r="S29" i="54"/>
  <c r="R32" i="54"/>
  <c r="R29" i="54"/>
  <c r="Q32" i="54"/>
  <c r="Q29" i="54"/>
  <c r="P32" i="54"/>
  <c r="P29" i="54"/>
  <c r="S27" i="54"/>
  <c r="R27" i="54"/>
  <c r="Q27" i="54"/>
  <c r="P27" i="54"/>
  <c r="S25" i="54"/>
  <c r="R25" i="54"/>
  <c r="Q25" i="54"/>
  <c r="P25" i="54"/>
  <c r="S23" i="54"/>
  <c r="R23" i="54"/>
  <c r="Q23" i="54"/>
  <c r="P23" i="54"/>
  <c r="S22" i="54"/>
  <c r="R22" i="54"/>
  <c r="Q22" i="54"/>
  <c r="P22" i="54"/>
  <c r="S21" i="54"/>
  <c r="R21" i="54"/>
  <c r="Q21" i="54"/>
  <c r="P21" i="54"/>
  <c r="S20" i="54"/>
  <c r="R20" i="54"/>
  <c r="Q20" i="54"/>
  <c r="P20" i="54"/>
  <c r="S18" i="54"/>
  <c r="R18" i="54"/>
  <c r="Q18" i="54"/>
  <c r="P18" i="54"/>
  <c r="S17" i="54"/>
  <c r="R17" i="54"/>
  <c r="Q17" i="54"/>
  <c r="P17" i="54"/>
  <c r="S16" i="54"/>
  <c r="R16" i="54"/>
  <c r="Q16" i="54"/>
  <c r="P16" i="54"/>
  <c r="S15" i="54"/>
  <c r="R15" i="54"/>
  <c r="Q15" i="54"/>
  <c r="P15" i="54"/>
  <c r="S14" i="54"/>
  <c r="Q14" i="54"/>
  <c r="P14" i="54"/>
  <c r="S13" i="54"/>
  <c r="R13" i="54"/>
  <c r="Q13" i="54"/>
  <c r="P13" i="54"/>
  <c r="S12" i="54"/>
  <c r="R12" i="54"/>
  <c r="Q12" i="54"/>
  <c r="P12" i="54"/>
  <c r="S11" i="54"/>
  <c r="S9" i="54"/>
  <c r="R11" i="54"/>
  <c r="Q11" i="54"/>
  <c r="Q9" i="54"/>
  <c r="P11" i="54"/>
  <c r="P9" i="54"/>
  <c r="M49" i="54"/>
  <c r="L49" i="54"/>
  <c r="K49" i="54"/>
  <c r="J49" i="54"/>
  <c r="M48" i="54"/>
  <c r="L48" i="54"/>
  <c r="K48" i="54"/>
  <c r="J48" i="54"/>
  <c r="M47" i="54"/>
  <c r="L47" i="54"/>
  <c r="K47" i="54"/>
  <c r="J47" i="54"/>
  <c r="M46" i="54"/>
  <c r="L46" i="54"/>
  <c r="K46" i="54"/>
  <c r="J46" i="54"/>
  <c r="M45" i="54"/>
  <c r="L45" i="54"/>
  <c r="K45" i="54"/>
  <c r="J45" i="54"/>
  <c r="M44" i="54"/>
  <c r="L44" i="54"/>
  <c r="K44" i="54"/>
  <c r="J44" i="54"/>
  <c r="M43" i="54"/>
  <c r="L43" i="54"/>
  <c r="K43" i="54"/>
  <c r="J43" i="54"/>
  <c r="M42" i="54"/>
  <c r="L42" i="54"/>
  <c r="K42" i="54"/>
  <c r="J42" i="54"/>
  <c r="M41" i="54"/>
  <c r="L41" i="54"/>
  <c r="K41" i="54"/>
  <c r="J41" i="54"/>
  <c r="M37" i="54"/>
  <c r="L37" i="54"/>
  <c r="K37" i="54"/>
  <c r="J37" i="54"/>
  <c r="M36" i="54"/>
  <c r="L36" i="54"/>
  <c r="K36" i="54"/>
  <c r="J36" i="54"/>
  <c r="M35" i="54"/>
  <c r="L35" i="54"/>
  <c r="K35" i="54"/>
  <c r="J35" i="54"/>
  <c r="M34" i="54"/>
  <c r="L34" i="54"/>
  <c r="K34" i="54"/>
  <c r="J34" i="54"/>
  <c r="M33" i="54"/>
  <c r="L33" i="54"/>
  <c r="K33" i="54"/>
  <c r="J33" i="54"/>
  <c r="M32" i="54"/>
  <c r="L32" i="54"/>
  <c r="K32" i="54"/>
  <c r="J32" i="54"/>
  <c r="M31" i="54"/>
  <c r="L31" i="54"/>
  <c r="K31" i="54"/>
  <c r="J31" i="54"/>
  <c r="M30" i="54"/>
  <c r="L30" i="54"/>
  <c r="K30" i="54"/>
  <c r="J30" i="54"/>
  <c r="M29" i="54"/>
  <c r="L29" i="54"/>
  <c r="K29" i="54"/>
  <c r="J29" i="54"/>
  <c r="M28" i="54"/>
  <c r="L28" i="54"/>
  <c r="K28" i="54"/>
  <c r="J28" i="54"/>
  <c r="M26" i="54"/>
  <c r="M24" i="54"/>
  <c r="L26" i="54"/>
  <c r="L24" i="54"/>
  <c r="K26" i="54"/>
  <c r="K24" i="54"/>
  <c r="J26" i="54"/>
  <c r="J24" i="54"/>
  <c r="M16" i="54"/>
  <c r="L16" i="54"/>
  <c r="K16" i="54"/>
  <c r="J16" i="54"/>
  <c r="M15" i="54"/>
  <c r="L15" i="54"/>
  <c r="K15" i="54"/>
  <c r="J15" i="54"/>
  <c r="M14" i="54"/>
  <c r="L14" i="54"/>
  <c r="K14" i="54"/>
  <c r="J14" i="54"/>
  <c r="M13" i="54"/>
  <c r="L13" i="54"/>
  <c r="K13" i="54"/>
  <c r="J13" i="54"/>
  <c r="M12" i="54"/>
  <c r="L12" i="54"/>
  <c r="K12" i="54"/>
  <c r="J12" i="54"/>
  <c r="M11" i="54"/>
  <c r="L11" i="54"/>
  <c r="K11" i="54"/>
  <c r="J11" i="54"/>
  <c r="M10" i="54"/>
  <c r="L10" i="54"/>
  <c r="K10" i="54"/>
  <c r="J10" i="54"/>
  <c r="M9" i="54"/>
  <c r="L9" i="54"/>
  <c r="K9" i="54"/>
  <c r="J9" i="54"/>
  <c r="M7" i="54"/>
  <c r="L7" i="54"/>
  <c r="K7" i="54"/>
  <c r="J7" i="54"/>
  <c r="M6" i="54"/>
  <c r="L6" i="54"/>
  <c r="K6" i="54"/>
  <c r="J6" i="54"/>
  <c r="M5" i="54"/>
  <c r="L5" i="54"/>
  <c r="K5" i="54"/>
  <c r="J5" i="54"/>
  <c r="G48" i="54"/>
  <c r="F48" i="54"/>
  <c r="E48" i="54"/>
  <c r="D48" i="54"/>
  <c r="G46" i="54"/>
  <c r="F46" i="54"/>
  <c r="E46" i="54"/>
  <c r="D46" i="54"/>
  <c r="G44" i="54"/>
  <c r="F44" i="54"/>
  <c r="E44" i="54"/>
  <c r="D44" i="54"/>
  <c r="G43" i="54"/>
  <c r="F43" i="54"/>
  <c r="E43" i="54"/>
  <c r="D43" i="54"/>
  <c r="G42" i="54"/>
  <c r="F42" i="54"/>
  <c r="E42" i="54"/>
  <c r="D42" i="54"/>
  <c r="G41" i="54"/>
  <c r="F41" i="54"/>
  <c r="E41" i="54"/>
  <c r="D41" i="54"/>
  <c r="G40" i="54"/>
  <c r="F40" i="54"/>
  <c r="E40" i="54"/>
  <c r="D40" i="54"/>
  <c r="G32" i="54"/>
  <c r="F32" i="54"/>
  <c r="E32" i="54"/>
  <c r="D32" i="54"/>
  <c r="G29" i="54"/>
  <c r="F29" i="54"/>
  <c r="E29" i="54"/>
  <c r="D29" i="54"/>
  <c r="G28" i="54"/>
  <c r="F28" i="54"/>
  <c r="E28" i="54"/>
  <c r="D28" i="54"/>
  <c r="G26" i="54"/>
  <c r="F26" i="54"/>
  <c r="E26" i="54"/>
  <c r="D26" i="54"/>
  <c r="G25" i="54"/>
  <c r="F25" i="54"/>
  <c r="E25" i="54"/>
  <c r="D25" i="54"/>
  <c r="G24" i="54"/>
  <c r="F24" i="54"/>
  <c r="E24" i="54"/>
  <c r="D24" i="54"/>
  <c r="G22" i="54"/>
  <c r="F22" i="54"/>
  <c r="E22" i="54"/>
  <c r="D22" i="54"/>
  <c r="G21" i="54"/>
  <c r="F21" i="54"/>
  <c r="E21" i="54"/>
  <c r="D21" i="54"/>
  <c r="G19" i="54"/>
  <c r="F19" i="54"/>
  <c r="E19" i="54"/>
  <c r="D19" i="54"/>
  <c r="G20" i="54"/>
  <c r="F20" i="54"/>
  <c r="E20" i="54"/>
  <c r="D20" i="54"/>
  <c r="F6" i="53"/>
  <c r="D6" i="53"/>
  <c r="K28" i="35"/>
  <c r="L28" i="35"/>
  <c r="M28" i="35"/>
  <c r="J28" i="35"/>
  <c r="K60" i="84"/>
  <c r="I60" i="84"/>
  <c r="J9" i="55"/>
  <c r="J10" i="55"/>
  <c r="J11" i="55"/>
  <c r="J12" i="55"/>
  <c r="J13" i="55"/>
  <c r="J14" i="55"/>
  <c r="J15" i="55"/>
  <c r="J16" i="55"/>
  <c r="J17" i="55"/>
  <c r="J18" i="55"/>
  <c r="J19" i="55"/>
  <c r="J20" i="55"/>
  <c r="J8" i="55"/>
  <c r="I28" i="35"/>
  <c r="H28" i="35"/>
  <c r="K59" i="84"/>
  <c r="J59" i="84"/>
  <c r="I59" i="84"/>
  <c r="G8" i="81"/>
  <c r="J6" i="55"/>
  <c r="T30" i="38"/>
  <c r="U30" i="38"/>
  <c r="R13" i="38"/>
  <c r="R14" i="38"/>
  <c r="R19" i="38"/>
  <c r="R20" i="38"/>
  <c r="R21" i="38"/>
  <c r="R22" i="38"/>
  <c r="R23" i="38"/>
  <c r="R24" i="38"/>
  <c r="R25" i="38"/>
  <c r="R26" i="38"/>
  <c r="R27" i="38"/>
  <c r="R28" i="38"/>
  <c r="R33" i="38"/>
  <c r="R34" i="38"/>
  <c r="R35" i="38"/>
  <c r="R36" i="38"/>
  <c r="R37" i="38"/>
  <c r="R38" i="38"/>
  <c r="R39" i="38"/>
  <c r="R40" i="38"/>
  <c r="F57" i="84"/>
  <c r="K57" i="84"/>
  <c r="F56" i="84"/>
  <c r="J56" i="84"/>
  <c r="F55" i="84"/>
  <c r="F54" i="84"/>
  <c r="K54" i="84"/>
  <c r="G6" i="81"/>
  <c r="K55" i="84"/>
  <c r="F8" i="55"/>
  <c r="G9" i="81"/>
  <c r="K6" i="81"/>
  <c r="F6" i="81"/>
  <c r="G20" i="55"/>
  <c r="J7" i="55"/>
  <c r="F51" i="84"/>
  <c r="U16" i="38"/>
  <c r="T16" i="38"/>
  <c r="U9" i="38"/>
  <c r="U6" i="38"/>
  <c r="K20" i="81"/>
  <c r="F20" i="81"/>
  <c r="G20" i="81"/>
  <c r="K19" i="81"/>
  <c r="G19" i="81"/>
  <c r="K18" i="81"/>
  <c r="F18" i="81"/>
  <c r="G18" i="81"/>
  <c r="K17" i="81"/>
  <c r="G17" i="81"/>
  <c r="K16" i="81"/>
  <c r="F16" i="81"/>
  <c r="G16" i="81"/>
  <c r="K15" i="81"/>
  <c r="F15" i="81"/>
  <c r="G15" i="81"/>
  <c r="K14" i="81"/>
  <c r="G14" i="81"/>
  <c r="K13" i="81"/>
  <c r="F13" i="81"/>
  <c r="G13" i="81"/>
  <c r="K12" i="81"/>
  <c r="G12" i="81"/>
  <c r="K11" i="81"/>
  <c r="G11" i="81"/>
  <c r="K10" i="81"/>
  <c r="F10" i="81"/>
  <c r="G10" i="81"/>
  <c r="K9" i="81"/>
  <c r="F9" i="81"/>
  <c r="K8" i="81"/>
  <c r="G19" i="55"/>
  <c r="F19" i="55"/>
  <c r="G18" i="55"/>
  <c r="F18" i="55"/>
  <c r="G17" i="55"/>
  <c r="G16" i="55"/>
  <c r="F16" i="55"/>
  <c r="G15" i="55"/>
  <c r="F15" i="55"/>
  <c r="G14" i="55"/>
  <c r="F14" i="55"/>
  <c r="G13" i="55"/>
  <c r="F13" i="55"/>
  <c r="G12" i="55"/>
  <c r="F12" i="55"/>
  <c r="G11" i="55"/>
  <c r="F11" i="55"/>
  <c r="G10" i="55"/>
  <c r="F10" i="55"/>
  <c r="G9" i="55"/>
  <c r="G6" i="55"/>
  <c r="J51" i="84"/>
  <c r="F49" i="84"/>
  <c r="K49" i="84"/>
  <c r="F45" i="84"/>
  <c r="K45" i="84"/>
  <c r="F6" i="84"/>
  <c r="I28" i="84"/>
  <c r="F8" i="84"/>
  <c r="I8" i="84"/>
  <c r="F10" i="84"/>
  <c r="J10" i="84"/>
  <c r="F12" i="84"/>
  <c r="J12" i="84"/>
  <c r="F14" i="84"/>
  <c r="I14" i="84"/>
  <c r="J14" i="84"/>
  <c r="F16" i="84"/>
  <c r="I16" i="84"/>
  <c r="F18" i="84"/>
  <c r="J18" i="84"/>
  <c r="F20" i="84"/>
  <c r="I20" i="84"/>
  <c r="F22" i="84"/>
  <c r="J22" i="84"/>
  <c r="F24" i="84"/>
  <c r="J24" i="84"/>
  <c r="F25" i="84"/>
  <c r="I25" i="84"/>
  <c r="J25" i="84"/>
  <c r="F26" i="84"/>
  <c r="J26" i="84"/>
  <c r="F27" i="84"/>
  <c r="I27" i="84"/>
  <c r="J27" i="84"/>
  <c r="F28" i="84"/>
  <c r="F30" i="84"/>
  <c r="J30" i="84"/>
  <c r="F31" i="84"/>
  <c r="J31" i="84"/>
  <c r="F32" i="84"/>
  <c r="J32" i="84"/>
  <c r="J33" i="84"/>
  <c r="J34" i="84"/>
  <c r="F36" i="84"/>
  <c r="I36" i="84"/>
  <c r="F37" i="84"/>
  <c r="J37" i="84"/>
  <c r="F38" i="84"/>
  <c r="I38" i="84"/>
  <c r="F39" i="84"/>
  <c r="J39" i="84"/>
  <c r="F40" i="84"/>
  <c r="J40" i="84"/>
  <c r="F42" i="84"/>
  <c r="I42" i="84"/>
  <c r="J42" i="84"/>
  <c r="F43" i="84"/>
  <c r="J43" i="84"/>
  <c r="F44" i="84"/>
  <c r="J44" i="84"/>
  <c r="F46" i="84"/>
  <c r="J46" i="84"/>
  <c r="I33" i="84"/>
  <c r="J28" i="84"/>
  <c r="K46" i="84"/>
  <c r="K43" i="84"/>
  <c r="J49" i="84"/>
  <c r="I30" i="84"/>
  <c r="K38" i="84"/>
  <c r="K51" i="84"/>
  <c r="I18" i="84"/>
  <c r="I10" i="84"/>
  <c r="I45" i="84"/>
  <c r="I51" i="84"/>
  <c r="K44" i="84"/>
  <c r="I22" i="84"/>
  <c r="I12" i="84"/>
  <c r="J55" i="84"/>
  <c r="F17" i="55"/>
  <c r="F9" i="55"/>
  <c r="F8" i="81"/>
  <c r="I55" i="84"/>
  <c r="I39" i="84"/>
  <c r="F17" i="81"/>
  <c r="J6" i="84"/>
  <c r="I43" i="84"/>
  <c r="I46" i="84"/>
  <c r="I6" i="84"/>
  <c r="J38" i="84"/>
  <c r="I49" i="84"/>
  <c r="I44" i="84"/>
  <c r="I54" i="84"/>
  <c r="I34" i="84"/>
  <c r="J54" i="84"/>
  <c r="J8" i="84"/>
  <c r="J36" i="84"/>
  <c r="K39" i="84"/>
  <c r="J45" i="84"/>
  <c r="J16" i="84"/>
  <c r="J57" i="84"/>
  <c r="I56" i="84"/>
  <c r="I31" i="84"/>
  <c r="I37" i="84"/>
  <c r="K56" i="84"/>
  <c r="I57" i="84"/>
  <c r="J20" i="84"/>
  <c r="K42" i="84"/>
  <c r="I24" i="84"/>
  <c r="K40" i="84"/>
  <c r="I40" i="84"/>
  <c r="I26" i="84"/>
  <c r="I32" i="84"/>
  <c r="F19" i="81"/>
  <c r="F14" i="81"/>
  <c r="F12" i="81"/>
  <c r="F11" i="81"/>
  <c r="K7" i="81"/>
  <c r="G7" i="81"/>
  <c r="F7" i="55"/>
  <c r="R9" i="54"/>
  <c r="D8" i="54"/>
  <c r="D5" i="54"/>
  <c r="F8" i="54"/>
  <c r="E8" i="54"/>
  <c r="E5" i="54"/>
  <c r="G8" i="54"/>
  <c r="G5" i="54"/>
  <c r="F7" i="81"/>
  <c r="F5" i="54"/>
  <c r="G28" i="35"/>
  <c r="R30" i="38"/>
  <c r="R6" i="38"/>
  <c r="R16" i="38"/>
  <c r="T6" i="38"/>
  <c r="R9" i="38"/>
  <c r="O30" i="38"/>
  <c r="O31" i="38"/>
  <c r="S33" i="38"/>
  <c r="R7" i="38"/>
  <c r="T10" i="38"/>
  <c r="S16" i="38"/>
  <c r="T17" i="38"/>
  <c r="T7" i="38"/>
  <c r="S39" i="38"/>
  <c r="R10" i="38"/>
  <c r="S6" i="38"/>
  <c r="S13" i="38"/>
  <c r="S26" i="38"/>
  <c r="S20" i="38"/>
  <c r="S22" i="38"/>
  <c r="U31" i="38"/>
  <c r="S34" i="38"/>
  <c r="U10" i="38"/>
  <c r="S14" i="38"/>
  <c r="R31" i="38"/>
  <c r="T31" i="38"/>
  <c r="S38" i="38"/>
  <c r="S24" i="38"/>
  <c r="S40" i="38"/>
  <c r="S25" i="38"/>
  <c r="S19" i="38"/>
  <c r="S36" i="38"/>
  <c r="S28" i="38"/>
  <c r="S23" i="38"/>
  <c r="S30" i="38"/>
  <c r="S37" i="38"/>
  <c r="S21" i="38"/>
  <c r="U7" i="38"/>
  <c r="S12" i="38"/>
  <c r="R17" i="38"/>
  <c r="S27" i="38"/>
  <c r="S35" i="38"/>
  <c r="U17" i="38"/>
</calcChain>
</file>

<file path=xl/sharedStrings.xml><?xml version="1.0" encoding="utf-8"?>
<sst xmlns="http://schemas.openxmlformats.org/spreadsheetml/2006/main" count="838" uniqueCount="594">
  <si>
    <t>宇部市</t>
    <rPh sb="0" eb="3">
      <t>ウベシ</t>
    </rPh>
    <phoneticPr fontId="2"/>
  </si>
  <si>
    <t>萩市</t>
    <rPh sb="0" eb="2">
      <t>ハギシ</t>
    </rPh>
    <phoneticPr fontId="2"/>
  </si>
  <si>
    <t>下松市</t>
    <rPh sb="0" eb="3">
      <t>クダマツシ</t>
    </rPh>
    <phoneticPr fontId="2"/>
  </si>
  <si>
    <t>柳井市</t>
    <rPh sb="0" eb="3">
      <t>ヤナイシ</t>
    </rPh>
    <phoneticPr fontId="2"/>
  </si>
  <si>
    <t>-</t>
  </si>
  <si>
    <t>堀越</t>
    <rPh sb="0" eb="2">
      <t>ホリコシ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</si>
  <si>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</si>
  <si>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</si>
  <si>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</si>
  <si>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ルミナス</t>
    <phoneticPr fontId="2"/>
  </si>
  <si>
    <t>資料：市市民課　　注）昭和11年（市制施行年）は、同年12月31日現在の戸口人口。</t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</si>
  <si>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</si>
  <si>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</si>
  <si>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</si>
  <si>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</si>
  <si>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</si>
  <si>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</si>
  <si>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</si>
  <si>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</si>
  <si>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</si>
  <si>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</si>
  <si>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</si>
  <si>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</si>
  <si>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</si>
  <si>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</si>
  <si>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</si>
  <si>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上河原団地</t>
  </si>
  <si>
    <t>（各年 9月30日）</t>
  </si>
  <si>
    <t>年次</t>
  </si>
  <si>
    <t>世帯数</t>
  </si>
  <si>
    <t>人口</t>
  </si>
  <si>
    <t>一世帯当たり人員</t>
  </si>
  <si>
    <t>人口密度</t>
  </si>
  <si>
    <t>総数</t>
  </si>
  <si>
    <t>男</t>
  </si>
  <si>
    <t>女</t>
  </si>
  <si>
    <t>増加指数</t>
  </si>
  <si>
    <t>／１k㎡</t>
  </si>
  <si>
    <t>昭和</t>
  </si>
  <si>
    <t>年</t>
  </si>
  <si>
    <t>平成</t>
  </si>
  <si>
    <t>元</t>
  </si>
  <si>
    <t>地域</t>
  </si>
  <si>
    <t>総 　　数</t>
  </si>
  <si>
    <t>牟礼</t>
  </si>
  <si>
    <t>（つづき）</t>
  </si>
  <si>
    <t>資料：市市民課</t>
  </si>
  <si>
    <t>町丁・大字名</t>
  </si>
  <si>
    <t>世帯</t>
  </si>
  <si>
    <t>計</t>
  </si>
  <si>
    <t>上天神町</t>
  </si>
  <si>
    <t>大字</t>
  </si>
  <si>
    <t>天神一丁目</t>
  </si>
  <si>
    <t>江泊</t>
  </si>
  <si>
    <t>栄町一丁目</t>
  </si>
  <si>
    <t>伊佐江</t>
  </si>
  <si>
    <t>岸津一丁目</t>
  </si>
  <si>
    <t>栄町二丁目</t>
  </si>
  <si>
    <t>三田尻三丁目</t>
  </si>
  <si>
    <t>岸津二丁目</t>
  </si>
  <si>
    <t>宮市町</t>
  </si>
  <si>
    <t>鋳物師町</t>
  </si>
  <si>
    <t>東仁井令町</t>
  </si>
  <si>
    <t>牟礼今宿一丁目</t>
  </si>
  <si>
    <t>迫戸町</t>
  </si>
  <si>
    <t>車塚町</t>
  </si>
  <si>
    <t>清水町</t>
  </si>
  <si>
    <t>牟礼今宿二丁目</t>
  </si>
  <si>
    <t>戎町一丁目</t>
  </si>
  <si>
    <t>お茶屋町</t>
  </si>
  <si>
    <t>華園町</t>
  </si>
  <si>
    <t>沖今宿一丁目</t>
  </si>
  <si>
    <t>戎町二丁目</t>
  </si>
  <si>
    <t>三田尻本町</t>
  </si>
  <si>
    <t>伊佐江町</t>
  </si>
  <si>
    <t>沖今宿二丁目</t>
  </si>
  <si>
    <t>八王子一丁目</t>
  </si>
  <si>
    <t>自力町</t>
  </si>
  <si>
    <t>開出本町</t>
  </si>
  <si>
    <t>牟礼柳</t>
  </si>
  <si>
    <t>八王子二丁目</t>
  </si>
  <si>
    <t>華浦一丁目</t>
  </si>
  <si>
    <t>開出西町</t>
  </si>
  <si>
    <t>酢貝</t>
  </si>
  <si>
    <t>今市町</t>
  </si>
  <si>
    <t>華浦二丁目</t>
  </si>
  <si>
    <t>西仁井令一丁目</t>
  </si>
  <si>
    <t>岩畠一丁目</t>
  </si>
  <si>
    <t>本橋町</t>
  </si>
  <si>
    <t>松原町</t>
  </si>
  <si>
    <t>西仁井令二丁目</t>
  </si>
  <si>
    <t>岩畠二丁目</t>
  </si>
  <si>
    <t>新橋町</t>
  </si>
  <si>
    <t>岡村町</t>
  </si>
  <si>
    <t>華城中央一丁目</t>
  </si>
  <si>
    <t>岩畠三丁目</t>
  </si>
  <si>
    <t>千日一丁目</t>
  </si>
  <si>
    <t>中央町</t>
  </si>
  <si>
    <t>華城中央二丁目</t>
  </si>
  <si>
    <t>中西</t>
  </si>
  <si>
    <t>千日二丁目</t>
  </si>
  <si>
    <t>駅南町</t>
  </si>
  <si>
    <t>敷山町</t>
  </si>
  <si>
    <t>平和町</t>
  </si>
  <si>
    <t>桑山一丁目</t>
  </si>
  <si>
    <t>上右田</t>
  </si>
  <si>
    <t>国衙一丁目</t>
  </si>
  <si>
    <t>佐波一丁目</t>
  </si>
  <si>
    <t>桑山二丁目</t>
  </si>
  <si>
    <t>下右田</t>
  </si>
  <si>
    <t>国衙二丁目</t>
  </si>
  <si>
    <t>佐波二丁目</t>
  </si>
  <si>
    <t>高井</t>
  </si>
  <si>
    <t>国衙三丁目</t>
  </si>
  <si>
    <t>寿町</t>
  </si>
  <si>
    <t>大崎</t>
  </si>
  <si>
    <t>国衙四丁目</t>
  </si>
  <si>
    <t>東佐波令</t>
  </si>
  <si>
    <t>佐野</t>
  </si>
  <si>
    <t>国衙五丁目</t>
  </si>
  <si>
    <t>泉町</t>
  </si>
  <si>
    <t>鐘紡町</t>
  </si>
  <si>
    <t>多々良一丁目</t>
  </si>
  <si>
    <t>中泉町</t>
  </si>
  <si>
    <t>協和町</t>
  </si>
  <si>
    <t>奥畑</t>
  </si>
  <si>
    <t>多々良二丁目</t>
  </si>
  <si>
    <t>開出</t>
  </si>
  <si>
    <t>久兼</t>
  </si>
  <si>
    <t>惣社町</t>
  </si>
  <si>
    <t>古祖原</t>
  </si>
  <si>
    <t>新築地町</t>
  </si>
  <si>
    <t>中山</t>
  </si>
  <si>
    <t>美和町</t>
  </si>
  <si>
    <t>高倉一丁目</t>
  </si>
  <si>
    <t>桑南一丁目</t>
  </si>
  <si>
    <t>和字</t>
  </si>
  <si>
    <t>緑町一丁目</t>
  </si>
  <si>
    <t>高倉二丁目</t>
  </si>
  <si>
    <t>桑南二丁目</t>
  </si>
  <si>
    <t>奈美</t>
  </si>
  <si>
    <t>緑町二丁目</t>
  </si>
  <si>
    <t>警固町一丁目</t>
  </si>
  <si>
    <t>鞠生町</t>
  </si>
  <si>
    <t>鈴屋</t>
  </si>
  <si>
    <t>国分寺町</t>
  </si>
  <si>
    <t>警固町二丁目</t>
  </si>
  <si>
    <t>新田一丁目</t>
  </si>
  <si>
    <t>真尾</t>
  </si>
  <si>
    <t>南松崎町</t>
  </si>
  <si>
    <t>勝間一丁目</t>
  </si>
  <si>
    <t>台道</t>
  </si>
  <si>
    <t>東松崎町</t>
  </si>
  <si>
    <t>勝間二丁目</t>
  </si>
  <si>
    <t>切畑</t>
  </si>
  <si>
    <t>勝間三丁目</t>
  </si>
  <si>
    <t>浜方</t>
  </si>
  <si>
    <t>　資料：市市民課</t>
  </si>
  <si>
    <t>地域・自治会</t>
  </si>
  <si>
    <t>下天神町</t>
  </si>
  <si>
    <t>華浦地域</t>
  </si>
  <si>
    <t>郷ケ崎東第一</t>
  </si>
  <si>
    <t>中当</t>
  </si>
  <si>
    <t>塚原</t>
  </si>
  <si>
    <t>西ノ浜</t>
  </si>
  <si>
    <t>大道地域</t>
  </si>
  <si>
    <t>国庁通</t>
  </si>
  <si>
    <t>郷ケ崎東第二</t>
  </si>
  <si>
    <t>四辻</t>
  </si>
  <si>
    <t>片山の一</t>
  </si>
  <si>
    <t>新地</t>
  </si>
  <si>
    <t>緑町</t>
  </si>
  <si>
    <t>堀口通</t>
  </si>
  <si>
    <t>郷ケ崎中</t>
  </si>
  <si>
    <t>小徳田</t>
  </si>
  <si>
    <t>片山の二</t>
  </si>
  <si>
    <t>梶野</t>
  </si>
  <si>
    <t>遠ケ崎</t>
  </si>
  <si>
    <t>牟礼地域</t>
  </si>
  <si>
    <t>駅通</t>
  </si>
  <si>
    <t>大林寺</t>
  </si>
  <si>
    <t>郷ケ崎西</t>
  </si>
  <si>
    <t>開出西</t>
  </si>
  <si>
    <t>勝坂</t>
  </si>
  <si>
    <t>門前</t>
  </si>
  <si>
    <t>岩淵</t>
  </si>
  <si>
    <t>新天地</t>
  </si>
  <si>
    <t>鳥越</t>
  </si>
  <si>
    <t>中村</t>
  </si>
  <si>
    <t>寺開作</t>
  </si>
  <si>
    <t>上の庄</t>
  </si>
  <si>
    <t>末田</t>
  </si>
  <si>
    <t>栄町</t>
  </si>
  <si>
    <t>本村</t>
  </si>
  <si>
    <t>地神堂</t>
  </si>
  <si>
    <t>右田市上</t>
  </si>
  <si>
    <t>東畑</t>
  </si>
  <si>
    <t>戎町一区</t>
  </si>
  <si>
    <t>東石ケ口</t>
  </si>
  <si>
    <t>小田</t>
  </si>
  <si>
    <t>右田市下</t>
  </si>
  <si>
    <t>小野地域</t>
  </si>
  <si>
    <t>西畑</t>
  </si>
  <si>
    <t>大内</t>
  </si>
  <si>
    <t>戎町二区</t>
  </si>
  <si>
    <t>石が口</t>
  </si>
  <si>
    <t>大塚</t>
  </si>
  <si>
    <t>芝生</t>
  </si>
  <si>
    <t>林</t>
  </si>
  <si>
    <t>共進町</t>
  </si>
  <si>
    <t>新道</t>
  </si>
  <si>
    <t>野地</t>
  </si>
  <si>
    <t>吉敷</t>
  </si>
  <si>
    <t>奥畑本畑</t>
  </si>
  <si>
    <t>西山</t>
  </si>
  <si>
    <t>築留</t>
  </si>
  <si>
    <t>太平町</t>
  </si>
  <si>
    <t>老松</t>
  </si>
  <si>
    <t>中関地域</t>
  </si>
  <si>
    <t>八河内</t>
  </si>
  <si>
    <t>神里</t>
  </si>
  <si>
    <t>奥畑樋渡</t>
  </si>
  <si>
    <t>前町</t>
  </si>
  <si>
    <t>中市</t>
  </si>
  <si>
    <t>高洲</t>
  </si>
  <si>
    <t>中河内</t>
  </si>
  <si>
    <t>大日</t>
  </si>
  <si>
    <t>奥畑麻生</t>
  </si>
  <si>
    <t>沖の原</t>
  </si>
  <si>
    <t>新町</t>
  </si>
  <si>
    <t>田町</t>
  </si>
  <si>
    <t>上地</t>
  </si>
  <si>
    <t>下河内</t>
  </si>
  <si>
    <t>大日団地</t>
  </si>
  <si>
    <t>奥畑赤山</t>
  </si>
  <si>
    <t>市西</t>
  </si>
  <si>
    <t>浮野</t>
  </si>
  <si>
    <t>迫戸</t>
  </si>
  <si>
    <t>鶴中浜</t>
  </si>
  <si>
    <t>塩屋原</t>
  </si>
  <si>
    <t>中塚</t>
  </si>
  <si>
    <t>久兼上</t>
  </si>
  <si>
    <t>市東</t>
  </si>
  <si>
    <t>沖田</t>
  </si>
  <si>
    <t>人丸</t>
  </si>
  <si>
    <t>堀口</t>
  </si>
  <si>
    <t>上新前町</t>
  </si>
  <si>
    <t>泥江</t>
  </si>
  <si>
    <t>沖高井</t>
  </si>
  <si>
    <t>久兼中村</t>
  </si>
  <si>
    <t>駅北</t>
  </si>
  <si>
    <t>沖今宿</t>
  </si>
  <si>
    <t>自力東町</t>
  </si>
  <si>
    <t>中新前町</t>
  </si>
  <si>
    <t>前開作</t>
  </si>
  <si>
    <t>鮒田</t>
  </si>
  <si>
    <t>久兼西</t>
  </si>
  <si>
    <t>駅南</t>
  </si>
  <si>
    <t>沖今宿第二</t>
  </si>
  <si>
    <t>中自力</t>
  </si>
  <si>
    <t>下新前町</t>
  </si>
  <si>
    <t>潮合</t>
  </si>
  <si>
    <t>日の本の一</t>
  </si>
  <si>
    <t>久兼片地山</t>
  </si>
  <si>
    <t>牟礼宿舎</t>
  </si>
  <si>
    <t>佐波地域</t>
  </si>
  <si>
    <t>松原</t>
  </si>
  <si>
    <t>浜内</t>
  </si>
  <si>
    <t>山県</t>
  </si>
  <si>
    <t>日の本の二</t>
  </si>
  <si>
    <t>中山上</t>
  </si>
  <si>
    <t>上り熊</t>
  </si>
  <si>
    <t>岸津</t>
  </si>
  <si>
    <t>晒石</t>
  </si>
  <si>
    <t>東築留</t>
  </si>
  <si>
    <t>西開作</t>
  </si>
  <si>
    <t>漆の一</t>
  </si>
  <si>
    <t>中山下</t>
  </si>
  <si>
    <t>大原</t>
  </si>
  <si>
    <t>今宿</t>
  </si>
  <si>
    <t>今市</t>
  </si>
  <si>
    <t>石原</t>
  </si>
  <si>
    <t>西築留</t>
  </si>
  <si>
    <t>西慶田</t>
  </si>
  <si>
    <t>漆の二</t>
  </si>
  <si>
    <t>長沢</t>
  </si>
  <si>
    <t>徳町</t>
  </si>
  <si>
    <t>北側</t>
  </si>
  <si>
    <t>江良</t>
  </si>
  <si>
    <t>奈美上</t>
  </si>
  <si>
    <t>開拓</t>
  </si>
  <si>
    <t>柳</t>
  </si>
  <si>
    <t>山口町</t>
  </si>
  <si>
    <t>華南一区</t>
  </si>
  <si>
    <t>居合</t>
  </si>
  <si>
    <t>奈美中</t>
  </si>
  <si>
    <t>下津令</t>
  </si>
  <si>
    <t>新田地域</t>
  </si>
  <si>
    <t>西浦地域</t>
  </si>
  <si>
    <t>七尾</t>
  </si>
  <si>
    <t>奈美下</t>
  </si>
  <si>
    <t>浜条</t>
  </si>
  <si>
    <t>岩畠</t>
  </si>
  <si>
    <t>西側官舎</t>
  </si>
  <si>
    <t>小森</t>
  </si>
  <si>
    <t>奈美旭</t>
  </si>
  <si>
    <t>岡条</t>
  </si>
  <si>
    <t>下敷山</t>
  </si>
  <si>
    <t>協和</t>
  </si>
  <si>
    <t>南蛮樋</t>
  </si>
  <si>
    <t>半田</t>
  </si>
  <si>
    <t>若宮</t>
  </si>
  <si>
    <t>鈴屋平</t>
  </si>
  <si>
    <t>新館</t>
  </si>
  <si>
    <t>上敷山</t>
  </si>
  <si>
    <t>高倉</t>
  </si>
  <si>
    <t>東須賀</t>
  </si>
  <si>
    <t>女山</t>
  </si>
  <si>
    <t>放光</t>
  </si>
  <si>
    <t>鈴屋宮の馬場</t>
  </si>
  <si>
    <t>旦東</t>
  </si>
  <si>
    <t>新橋</t>
  </si>
  <si>
    <t>西田中</t>
  </si>
  <si>
    <t>上本町</t>
  </si>
  <si>
    <t>丸山</t>
  </si>
  <si>
    <t>台ケ原</t>
  </si>
  <si>
    <t>鈴屋沖</t>
  </si>
  <si>
    <t>大繁枝</t>
  </si>
  <si>
    <t>千日町</t>
  </si>
  <si>
    <t>問屋口</t>
  </si>
  <si>
    <t>本町</t>
  </si>
  <si>
    <t>里木舟</t>
  </si>
  <si>
    <t>川開作</t>
  </si>
  <si>
    <t>鈴屋中</t>
  </si>
  <si>
    <t>開作</t>
  </si>
  <si>
    <t>坂本団地</t>
  </si>
  <si>
    <t>本橋通</t>
  </si>
  <si>
    <t>古浜</t>
  </si>
  <si>
    <t>南山手</t>
  </si>
  <si>
    <t>小茅</t>
  </si>
  <si>
    <t>小島</t>
  </si>
  <si>
    <t>鈴屋佐尾</t>
  </si>
  <si>
    <t>繁枝団地</t>
  </si>
  <si>
    <t>下木部</t>
  </si>
  <si>
    <t>横入川</t>
  </si>
  <si>
    <t>北山手</t>
  </si>
  <si>
    <t>新地東</t>
  </si>
  <si>
    <t>真尾下郷</t>
  </si>
  <si>
    <t>上木部</t>
  </si>
  <si>
    <t>古前町</t>
  </si>
  <si>
    <t>東海社宅</t>
  </si>
  <si>
    <t>新地西</t>
  </si>
  <si>
    <t>自由ケ丘</t>
  </si>
  <si>
    <t>真尾高松</t>
  </si>
  <si>
    <t>大平山団地</t>
  </si>
  <si>
    <t>西須賀</t>
  </si>
  <si>
    <t>中浦</t>
  </si>
  <si>
    <t>開作東</t>
  </si>
  <si>
    <t>真尾中央</t>
  </si>
  <si>
    <t>新長尾</t>
  </si>
  <si>
    <t>上新田</t>
  </si>
  <si>
    <t>北基地</t>
  </si>
  <si>
    <t>開作西</t>
  </si>
  <si>
    <t>真尾南郷</t>
  </si>
  <si>
    <t>勝間地域</t>
  </si>
  <si>
    <t>中新田</t>
  </si>
  <si>
    <t>南基地</t>
  </si>
  <si>
    <t>黄金通</t>
  </si>
  <si>
    <t>富海地域</t>
  </si>
  <si>
    <t>真尾堀溝</t>
  </si>
  <si>
    <t>下新田</t>
  </si>
  <si>
    <t>北山手宿舎</t>
  </si>
  <si>
    <t>真尾坂本</t>
  </si>
  <si>
    <t>藤本町</t>
  </si>
  <si>
    <t>戸田山</t>
  </si>
  <si>
    <t>車塚</t>
  </si>
  <si>
    <t>右田地域</t>
  </si>
  <si>
    <t>国衙</t>
  </si>
  <si>
    <t>東車塚</t>
  </si>
  <si>
    <t>野島地域</t>
  </si>
  <si>
    <t>野田</t>
  </si>
  <si>
    <t>多々良</t>
  </si>
  <si>
    <t>鋳物師</t>
  </si>
  <si>
    <t>華城地域</t>
  </si>
  <si>
    <t>矢筈</t>
  </si>
  <si>
    <t>脇</t>
  </si>
  <si>
    <t>新丁方</t>
  </si>
  <si>
    <t>野島東</t>
  </si>
  <si>
    <t>和田峪</t>
  </si>
  <si>
    <t>朝日</t>
  </si>
  <si>
    <t>高砂</t>
  </si>
  <si>
    <t>局の内</t>
  </si>
  <si>
    <t>野島中</t>
  </si>
  <si>
    <t>大藪一区</t>
  </si>
  <si>
    <t>田ノ口</t>
  </si>
  <si>
    <t>東浜</t>
  </si>
  <si>
    <t>前小路</t>
  </si>
  <si>
    <t>警固町</t>
  </si>
  <si>
    <t>野島西</t>
  </si>
  <si>
    <t>大藪二区</t>
  </si>
  <si>
    <t>沖田ノ口</t>
  </si>
  <si>
    <t>小路口</t>
  </si>
  <si>
    <t>立市</t>
  </si>
  <si>
    <t>西勝間</t>
  </si>
  <si>
    <t>鍛冶屋河内</t>
  </si>
  <si>
    <t>唐臼</t>
  </si>
  <si>
    <t>浦開作</t>
  </si>
  <si>
    <t>旭町</t>
  </si>
  <si>
    <t>東勝間</t>
  </si>
  <si>
    <t>古谷河内</t>
  </si>
  <si>
    <t>曙</t>
  </si>
  <si>
    <t>鐘紡</t>
  </si>
  <si>
    <t>向島地域</t>
  </si>
  <si>
    <t>上河原</t>
  </si>
  <si>
    <t>三田尻港町</t>
  </si>
  <si>
    <t>柳原二区</t>
  </si>
  <si>
    <t>西町</t>
  </si>
  <si>
    <t>年  齢</t>
  </si>
  <si>
    <t>比率</t>
  </si>
  <si>
    <t>年少人口</t>
  </si>
  <si>
    <t>歳</t>
  </si>
  <si>
    <t>～</t>
  </si>
  <si>
    <t>生産年齢人口</t>
  </si>
  <si>
    <t>老年人口</t>
  </si>
  <si>
    <t>総 　 数</t>
    <phoneticPr fontId="2"/>
  </si>
  <si>
    <t>三田尻一丁目</t>
    <phoneticPr fontId="2"/>
  </si>
  <si>
    <t>石が口一丁目</t>
    <phoneticPr fontId="2"/>
  </si>
  <si>
    <t>石が口二丁目</t>
    <phoneticPr fontId="2"/>
  </si>
  <si>
    <t>石が口三丁目</t>
    <phoneticPr fontId="2"/>
  </si>
  <si>
    <t xml:space="preserve">  （つづき）</t>
    <phoneticPr fontId="2"/>
  </si>
  <si>
    <t>ﾘｰﾍﾞｯｸｽ57</t>
    <phoneticPr fontId="2"/>
  </si>
  <si>
    <t xml:space="preserve"> 歳 以 上</t>
    <phoneticPr fontId="2"/>
  </si>
  <si>
    <t>資料：市市民課　　注）比率は四捨五入。</t>
  </si>
  <si>
    <t>総人口</t>
  </si>
  <si>
    <t>日本人増減</t>
  </si>
  <si>
    <t>自然動態</t>
  </si>
  <si>
    <t>社会動態</t>
  </si>
  <si>
    <t>外国人増減</t>
  </si>
  <si>
    <t>（特掲）</t>
  </si>
  <si>
    <t>出生</t>
  </si>
  <si>
    <t>死亡</t>
  </si>
  <si>
    <t>社会増減</t>
  </si>
  <si>
    <t>転入</t>
  </si>
  <si>
    <t>転出</t>
  </si>
  <si>
    <t>月</t>
  </si>
  <si>
    <t>結婚</t>
  </si>
  <si>
    <t>離婚</t>
  </si>
  <si>
    <t>内）男</t>
  </si>
  <si>
    <t>国　　　籍</t>
  </si>
  <si>
    <t>韓国</t>
  </si>
  <si>
    <t>朝鮮</t>
  </si>
  <si>
    <t>中国</t>
  </si>
  <si>
    <t>マレーシア</t>
  </si>
  <si>
    <t>インドネシア</t>
  </si>
  <si>
    <t>タイ</t>
  </si>
  <si>
    <t>バングラデシュ</t>
  </si>
  <si>
    <t>アメリカ</t>
  </si>
  <si>
    <t>カナダ</t>
  </si>
  <si>
    <t>メキシコ</t>
  </si>
  <si>
    <t>ブラジル</t>
  </si>
  <si>
    <t>ペルー</t>
  </si>
  <si>
    <t>アルゼンチン</t>
  </si>
  <si>
    <t>イギリス</t>
  </si>
  <si>
    <t>スペイン</t>
  </si>
  <si>
    <t>イタリア</t>
  </si>
  <si>
    <t>オーストラリア</t>
  </si>
  <si>
    <t>ニュージーランド</t>
  </si>
  <si>
    <t>天神二丁目</t>
    <phoneticPr fontId="2"/>
  </si>
  <si>
    <t>三田尻二丁目</t>
    <phoneticPr fontId="2"/>
  </si>
  <si>
    <t>北浜内</t>
    <rPh sb="0" eb="1">
      <t>キタ</t>
    </rPh>
    <rPh sb="1" eb="3">
      <t>ハマウチ</t>
    </rPh>
    <phoneticPr fontId="2"/>
  </si>
  <si>
    <t>田島宿舎</t>
    <rPh sb="0" eb="2">
      <t>タジマ</t>
    </rPh>
    <rPh sb="2" eb="4">
      <t>シュクシャ</t>
    </rPh>
    <phoneticPr fontId="2"/>
  </si>
  <si>
    <t>坂本</t>
    <phoneticPr fontId="2"/>
  </si>
  <si>
    <t>資料：山口県人口移動統計調査　   　　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</si>
  <si>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コンゴ民主共和国</t>
    <rPh sb="3" eb="5">
      <t>ミンシュ</t>
    </rPh>
    <rPh sb="5" eb="8">
      <t>キョウワコク</t>
    </rPh>
    <phoneticPr fontId="12"/>
  </si>
  <si>
    <t>ｻｰﾊﾟｽ上天神町</t>
    <rPh sb="5" eb="9">
      <t>カミテンジンチョウ</t>
    </rPh>
    <phoneticPr fontId="2"/>
  </si>
  <si>
    <t>自由ケ丘一丁目</t>
    <rPh sb="0" eb="4">
      <t>ジユウガオカ</t>
    </rPh>
    <rPh sb="4" eb="7">
      <t>イッチョウメ</t>
    </rPh>
    <phoneticPr fontId="2"/>
  </si>
  <si>
    <t>自由ケ丘二丁目</t>
    <rPh sb="0" eb="4">
      <t>ジユウガオカ</t>
    </rPh>
    <rPh sb="4" eb="5">
      <t>ニ</t>
    </rPh>
    <rPh sb="5" eb="7">
      <t>チョウメ</t>
    </rPh>
    <phoneticPr fontId="2"/>
  </si>
  <si>
    <t>自由ケ丘三丁目</t>
    <rPh sb="0" eb="4">
      <t>ジユウガオカ</t>
    </rPh>
    <rPh sb="4" eb="7">
      <t>サンチョウメ</t>
    </rPh>
    <phoneticPr fontId="2"/>
  </si>
  <si>
    <t>自由ケ丘四丁目</t>
    <rPh sb="0" eb="4">
      <t>ジユウガオカ</t>
    </rPh>
    <rPh sb="4" eb="5">
      <t>４</t>
    </rPh>
    <rPh sb="5" eb="7">
      <t>チョウメ</t>
    </rPh>
    <phoneticPr fontId="2"/>
  </si>
  <si>
    <t>東三田尻一丁目</t>
    <rPh sb="0" eb="4">
      <t>ヒガシミタジリ</t>
    </rPh>
    <rPh sb="4" eb="7">
      <t>イッチョウメ</t>
    </rPh>
    <phoneticPr fontId="2"/>
  </si>
  <si>
    <t>東三田尻二丁目</t>
    <rPh sb="0" eb="4">
      <t>ヒガシミタジリ</t>
    </rPh>
    <rPh sb="4" eb="5">
      <t>ニ</t>
    </rPh>
    <rPh sb="5" eb="7">
      <t>チョウメ</t>
    </rPh>
    <phoneticPr fontId="2"/>
  </si>
  <si>
    <t>城　山　台</t>
    <rPh sb="0" eb="1">
      <t>シロ</t>
    </rPh>
    <rPh sb="2" eb="3">
      <t>ヤマ</t>
    </rPh>
    <rPh sb="4" eb="5">
      <t>ダイ</t>
    </rPh>
    <phoneticPr fontId="2"/>
  </si>
  <si>
    <t>松崎地域</t>
    <rPh sb="2" eb="4">
      <t>チイキ</t>
    </rPh>
    <phoneticPr fontId="2"/>
  </si>
  <si>
    <t>　</t>
  </si>
  <si>
    <t>平成</t>
    <rPh sb="0" eb="2">
      <t>ヘイセイ</t>
    </rPh>
    <phoneticPr fontId="2"/>
  </si>
  <si>
    <t>仁井令町</t>
    <rPh sb="0" eb="4">
      <t>ニイリョウチョウ</t>
    </rPh>
    <phoneticPr fontId="2"/>
  </si>
  <si>
    <t>田島</t>
    <rPh sb="0" eb="2">
      <t>タジマ</t>
    </rPh>
    <phoneticPr fontId="2"/>
  </si>
  <si>
    <t>仁井令</t>
    <rPh sb="0" eb="3">
      <t>ニイリョウ</t>
    </rPh>
    <phoneticPr fontId="2"/>
  </si>
  <si>
    <t>植松</t>
    <rPh sb="0" eb="2">
      <t>ウエマツ</t>
    </rPh>
    <phoneticPr fontId="2"/>
  </si>
  <si>
    <t>自然増減</t>
    <phoneticPr fontId="2"/>
  </si>
  <si>
    <t xml:space="preserve"> 市　　　計</t>
    <rPh sb="1" eb="2">
      <t>シ</t>
    </rPh>
    <rPh sb="5" eb="6">
      <t>ケイ</t>
    </rPh>
    <phoneticPr fontId="2"/>
  </si>
  <si>
    <t>各市の自然動態（出生・死亡）</t>
    <rPh sb="0" eb="1">
      <t>カク</t>
    </rPh>
    <rPh sb="1" eb="2">
      <t>シ</t>
    </rPh>
    <rPh sb="3" eb="5">
      <t>シゼン</t>
    </rPh>
    <rPh sb="5" eb="7">
      <t>ドウタイ</t>
    </rPh>
    <rPh sb="8" eb="10">
      <t>シュッセイ</t>
    </rPh>
    <rPh sb="11" eb="13">
      <t>シボウ</t>
    </rPh>
    <phoneticPr fontId="2"/>
  </si>
  <si>
    <t>総  数</t>
    <rPh sb="0" eb="1">
      <t>フサ</t>
    </rPh>
    <rPh sb="3" eb="4">
      <t>カズ</t>
    </rPh>
    <phoneticPr fontId="2"/>
  </si>
  <si>
    <t>社会増減</t>
    <rPh sb="0" eb="2">
      <t>シャカイ</t>
    </rPh>
    <phoneticPr fontId="2"/>
  </si>
  <si>
    <t>各市の社会動態（転入・転出）</t>
    <rPh sb="0" eb="1">
      <t>カク</t>
    </rPh>
    <rPh sb="1" eb="2">
      <t>シ</t>
    </rPh>
    <rPh sb="3" eb="5">
      <t>シャカイ</t>
    </rPh>
    <rPh sb="5" eb="7">
      <t>ドウタイ</t>
    </rPh>
    <rPh sb="8" eb="10">
      <t>テンニュウ</t>
    </rPh>
    <rPh sb="11" eb="13">
      <t>テンシュツ</t>
    </rPh>
    <phoneticPr fontId="2"/>
  </si>
  <si>
    <t>その他</t>
    <rPh sb="2" eb="3">
      <t>タ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</si>
  <si>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</si>
  <si>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</si>
  <si>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市</t>
    <rPh sb="0" eb="1">
      <t>シ</t>
    </rPh>
    <phoneticPr fontId="2"/>
  </si>
  <si>
    <t>県　　　計</t>
    <rPh sb="0" eb="1">
      <t>ケン</t>
    </rPh>
    <rPh sb="4" eb="5">
      <t>ケイ</t>
    </rPh>
    <phoneticPr fontId="2"/>
  </si>
  <si>
    <t>防府市</t>
    <rPh sb="0" eb="2">
      <t>ホウフ</t>
    </rPh>
    <rPh sb="2" eb="3">
      <t>シ</t>
    </rPh>
    <phoneticPr fontId="2"/>
  </si>
  <si>
    <t>下関市</t>
    <rPh sb="0" eb="2">
      <t>シモノセキ</t>
    </rPh>
    <rPh sb="2" eb="3">
      <t>シ</t>
    </rPh>
    <phoneticPr fontId="2"/>
  </si>
  <si>
    <t>山口市</t>
    <rPh sb="0" eb="2">
      <t>ヤマグチ</t>
    </rPh>
    <rPh sb="2" eb="3">
      <t>シ</t>
    </rPh>
    <phoneticPr fontId="2"/>
  </si>
  <si>
    <t>岩国市</t>
    <rPh sb="0" eb="3">
      <t>イワクニシ</t>
    </rPh>
    <phoneticPr fontId="2"/>
  </si>
  <si>
    <t>光市</t>
    <rPh sb="0" eb="1">
      <t>ヒカリ</t>
    </rPh>
    <rPh sb="1" eb="2">
      <t>シ</t>
    </rPh>
    <phoneticPr fontId="2"/>
  </si>
  <si>
    <t>長門市</t>
    <rPh sb="0" eb="3">
      <t>ナガトシ</t>
    </rPh>
    <phoneticPr fontId="2"/>
  </si>
  <si>
    <t>転　　　　　　入</t>
    <rPh sb="0" eb="1">
      <t>テン</t>
    </rPh>
    <rPh sb="7" eb="8">
      <t>イリ</t>
    </rPh>
    <phoneticPr fontId="2"/>
  </si>
  <si>
    <t>転　　　　　　出</t>
    <rPh sb="0" eb="1">
      <t>テン</t>
    </rPh>
    <rPh sb="7" eb="8">
      <t>デ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</si>
  <si>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</si>
  <si>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</si>
  <si>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美祢市</t>
    <rPh sb="0" eb="3">
      <t>ミネシ</t>
    </rPh>
    <phoneticPr fontId="2"/>
  </si>
  <si>
    <t>周南市</t>
    <rPh sb="0" eb="1">
      <t>シュウ</t>
    </rPh>
    <rPh sb="1" eb="2">
      <t>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</si>
  <si>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</si>
  <si>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小俣</t>
    <rPh sb="0" eb="2">
      <t>オマタ</t>
    </rPh>
    <phoneticPr fontId="2"/>
  </si>
  <si>
    <t>台湾</t>
    <rPh sb="0" eb="2">
      <t>タイワン</t>
    </rPh>
    <phoneticPr fontId="2"/>
  </si>
  <si>
    <t>自然増減</t>
  </si>
  <si>
    <t>総 　　　　　数</t>
  </si>
  <si>
    <t xml:space="preserve"> </t>
  </si>
  <si>
    <t>ベトナム</t>
  </si>
  <si>
    <t>ネパール</t>
  </si>
  <si>
    <t>パキスタン</t>
  </si>
  <si>
    <t>インド</t>
  </si>
  <si>
    <t>シンガポール</t>
  </si>
  <si>
    <t>ミャンマー</t>
  </si>
  <si>
    <t>パラグアイ</t>
  </si>
  <si>
    <t>コロンビア</t>
  </si>
  <si>
    <t>オランダ</t>
  </si>
  <si>
    <t>ウクライナ</t>
  </si>
  <si>
    <t>ロシア</t>
  </si>
  <si>
    <t>フランス</t>
  </si>
  <si>
    <t>モルドバ</t>
  </si>
  <si>
    <t>ジャマイカ</t>
  </si>
  <si>
    <t>カンボジア</t>
  </si>
  <si>
    <t>ドイツ</t>
  </si>
  <si>
    <t>キューバ</t>
  </si>
  <si>
    <t>チリ</t>
  </si>
  <si>
    <t>ポーランド</t>
  </si>
  <si>
    <t>エストニア</t>
  </si>
  <si>
    <t>パナマ</t>
  </si>
  <si>
    <t>スロバキア</t>
  </si>
  <si>
    <t>ベネズエラ</t>
  </si>
  <si>
    <t>平成26年</t>
    <rPh sb="0" eb="2">
      <t>ヘイセイ</t>
    </rPh>
    <rPh sb="4" eb="5">
      <t>ネン</t>
    </rPh>
    <phoneticPr fontId="2"/>
  </si>
  <si>
    <t>構成比</t>
    <rPh sb="0" eb="3">
      <t>コウセイヒ</t>
    </rPh>
    <phoneticPr fontId="2"/>
  </si>
  <si>
    <t>パプアニューギニア</t>
    <phoneticPr fontId="12"/>
  </si>
  <si>
    <t>スウェーデン</t>
    <phoneticPr fontId="12"/>
  </si>
  <si>
    <t>総　 　　　数</t>
    <phoneticPr fontId="2"/>
  </si>
  <si>
    <t>外国人人口</t>
    <phoneticPr fontId="1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</si>
  <si>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</si>
  <si>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</si>
  <si>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玉祖</t>
    <rPh sb="0" eb="1">
      <t>タマ</t>
    </rPh>
    <rPh sb="1" eb="2">
      <t>ソ</t>
    </rPh>
    <phoneticPr fontId="2"/>
  </si>
  <si>
    <t>柳原一区</t>
    <phoneticPr fontId="2"/>
  </si>
  <si>
    <t>玉祖地区</t>
    <rPh sb="0" eb="1">
      <t>タマ</t>
    </rPh>
    <rPh sb="1" eb="2">
      <t>ソ</t>
    </rPh>
    <rPh sb="2" eb="4">
      <t>チク</t>
    </rPh>
    <phoneticPr fontId="2"/>
  </si>
  <si>
    <t>フィリピン</t>
    <phoneticPr fontId="12"/>
  </si>
  <si>
    <t>ニカラグア</t>
    <phoneticPr fontId="12"/>
  </si>
  <si>
    <t>アイスランド</t>
    <phoneticPr fontId="12"/>
  </si>
  <si>
    <t>平成29年</t>
    <rPh sb="0" eb="2">
      <t>ヘイセイ</t>
    </rPh>
    <rPh sb="4" eb="5">
      <t>ネン</t>
    </rPh>
    <phoneticPr fontId="2"/>
  </si>
  <si>
    <t>　　2-32</t>
    <phoneticPr fontId="2"/>
  </si>
  <si>
    <t>2-33 地域別住民基本台帳人口、世帯数</t>
    <phoneticPr fontId="2"/>
  </si>
  <si>
    <t>2-34</t>
    <phoneticPr fontId="2"/>
  </si>
  <si>
    <t>2-35</t>
    <phoneticPr fontId="2"/>
  </si>
  <si>
    <t>2-37</t>
    <phoneticPr fontId="2"/>
  </si>
  <si>
    <t>2-38</t>
    <phoneticPr fontId="2"/>
  </si>
  <si>
    <t>2-39</t>
    <phoneticPr fontId="2"/>
  </si>
  <si>
    <t>2-40</t>
    <phoneticPr fontId="12"/>
  </si>
  <si>
    <t>地域別、自治会別住民基本台帳人口、世帯数</t>
    <phoneticPr fontId="2"/>
  </si>
  <si>
    <t>チェコ</t>
    <phoneticPr fontId="12"/>
  </si>
  <si>
    <t>スリランカ</t>
    <phoneticPr fontId="12"/>
  </si>
  <si>
    <t>平成30年</t>
    <rPh sb="0" eb="2">
      <t>ヘイセイ</t>
    </rPh>
    <rPh sb="4" eb="5">
      <t>ネン</t>
    </rPh>
    <phoneticPr fontId="2"/>
  </si>
  <si>
    <t>アイルランド</t>
    <phoneticPr fontId="12"/>
  </si>
  <si>
    <t>セルビア</t>
    <phoneticPr fontId="12"/>
  </si>
  <si>
    <t>人口動態</t>
    <phoneticPr fontId="2"/>
  </si>
  <si>
    <t>令和</t>
    <rPh sb="0" eb="2">
      <t>レイワ</t>
    </rPh>
    <phoneticPr fontId="2"/>
  </si>
  <si>
    <t>令和元年</t>
    <rPh sb="0" eb="2">
      <t>レイワ</t>
    </rPh>
    <rPh sb="2" eb="4">
      <t>ガンネン</t>
    </rPh>
    <phoneticPr fontId="2"/>
  </si>
  <si>
    <t>元</t>
    <rPh sb="0" eb="1">
      <t>モト</t>
    </rPh>
    <phoneticPr fontId="2"/>
  </si>
  <si>
    <t>南アフリカ共和国</t>
    <rPh sb="0" eb="1">
      <t>ミナミ</t>
    </rPh>
    <rPh sb="5" eb="8">
      <t>キョウワコク</t>
    </rPh>
    <phoneticPr fontId="12"/>
  </si>
  <si>
    <t>ボリビア</t>
    <phoneticPr fontId="12"/>
  </si>
  <si>
    <t>平成29年</t>
    <phoneticPr fontId="2"/>
  </si>
  <si>
    <t>大字伊佐江</t>
    <phoneticPr fontId="2"/>
  </si>
  <si>
    <t>住民基本台帳人口の推移</t>
    <phoneticPr fontId="2"/>
  </si>
  <si>
    <t>平成30年</t>
    <phoneticPr fontId="2"/>
  </si>
  <si>
    <t>町丁・大字別住民基本台帳人口、世帯数</t>
    <phoneticPr fontId="2"/>
  </si>
  <si>
    <t>2-36 年齢別住民基本台帳人口</t>
    <phoneticPr fontId="2"/>
  </si>
  <si>
    <t>総          数</t>
    <phoneticPr fontId="2"/>
  </si>
  <si>
    <t>（令和2年 9月30日）</t>
    <rPh sb="1" eb="3">
      <t>レイワ</t>
    </rPh>
    <phoneticPr fontId="2"/>
  </si>
  <si>
    <t>令和2年</t>
    <rPh sb="0" eb="2">
      <t>レイワ</t>
    </rPh>
    <rPh sb="3" eb="4">
      <t>ネン</t>
    </rPh>
    <phoneticPr fontId="2"/>
  </si>
  <si>
    <t>台道団地</t>
    <rPh sb="0" eb="2">
      <t>ダイドウ</t>
    </rPh>
    <rPh sb="2" eb="4">
      <t>ダンチ</t>
    </rPh>
    <phoneticPr fontId="2"/>
  </si>
  <si>
    <t>ｻｰﾊﾟｽ防府駅
ｾﾝﾄﾏｰｸｽ</t>
    <rPh sb="5" eb="8">
      <t>ホウフエキ</t>
    </rPh>
    <phoneticPr fontId="2"/>
  </si>
  <si>
    <t>資料：山口県人口移動統計調査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</si>
  <si>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（ H31.1～R1.12 ）</t>
    <phoneticPr fontId="2"/>
  </si>
  <si>
    <t>資料：市市民課</t>
    <phoneticPr fontId="2"/>
  </si>
  <si>
    <t>平成29年 9月30日</t>
    <phoneticPr fontId="2"/>
  </si>
  <si>
    <t>平成30年 9月30日</t>
    <phoneticPr fontId="2"/>
  </si>
  <si>
    <t>令和元年 9月30日</t>
    <rPh sb="0" eb="2">
      <t>レイワ</t>
    </rPh>
    <rPh sb="2" eb="3">
      <t>ガン</t>
    </rPh>
    <phoneticPr fontId="2"/>
  </si>
  <si>
    <t>令和 2年 9月30日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</si>
</sst>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 "/>
    <numFmt numFmtId="177" formatCode="0.0_ "/>
    <numFmt numFmtId="178" formatCode="#\ ###\ ###"/>
    <numFmt numFmtId="179" formatCode="#\ ###\ ###\ \ "/>
    <numFmt numFmtId="180" formatCode="#\ ###\ ###\ ;;&quot;- &quot;"/>
    <numFmt numFmtId="196" formatCode="0_);[Red]\(0\)"/>
    <numFmt numFmtId="199" formatCode="0;&quot;△ &quot;0"/>
    <numFmt numFmtId="202" formatCode="#,##0_ ;[Red]\-#,##0\ "/>
    <numFmt numFmtId="212" formatCode="#\ ###\ ###\ "/>
    <numFmt numFmtId="222" formatCode="#\ ##0\ ;&quot;△ &quot;#\ ###\ "/>
  </numFmts>
  <fonts count="3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8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34" applyNumberFormat="0" applyAlignment="0" applyProtection="0">
      <alignment vertical="center"/>
    </xf>
    <xf numFmtId="0" fontId="21" fillId="33" borderId="34" applyNumberFormat="0" applyAlignment="0" applyProtection="0">
      <alignment vertical="center"/>
    </xf>
    <xf numFmtId="0" fontId="21" fillId="33" borderId="34" applyNumberFormat="0" applyAlignment="0" applyProtection="0">
      <alignment vertical="center"/>
    </xf>
    <xf numFmtId="0" fontId="21" fillId="33" borderId="34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5" borderId="35" applyNumberFormat="0" applyFont="0" applyAlignment="0" applyProtection="0">
      <alignment vertical="center"/>
    </xf>
    <xf numFmtId="0" fontId="18" fillId="35" borderId="35" applyNumberFormat="0" applyFont="0" applyAlignment="0" applyProtection="0">
      <alignment vertical="center"/>
    </xf>
    <xf numFmtId="0" fontId="18" fillId="35" borderId="35" applyNumberFormat="0" applyFont="0" applyAlignment="0" applyProtection="0">
      <alignment vertical="center"/>
    </xf>
    <xf numFmtId="0" fontId="18" fillId="35" borderId="35" applyNumberFormat="0" applyFont="0" applyAlignment="0" applyProtection="0">
      <alignment vertical="center"/>
    </xf>
    <xf numFmtId="0" fontId="17" fillId="35" borderId="35" applyNumberFormat="0" applyFon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37" applyNumberFormat="0" applyAlignment="0" applyProtection="0">
      <alignment vertical="center"/>
    </xf>
    <xf numFmtId="0" fontId="25" fillId="37" borderId="37" applyNumberFormat="0" applyAlignment="0" applyProtection="0">
      <alignment vertical="center"/>
    </xf>
    <xf numFmtId="0" fontId="25" fillId="37" borderId="37" applyNumberFormat="0" applyAlignment="0" applyProtection="0">
      <alignment vertical="center"/>
    </xf>
    <xf numFmtId="0" fontId="25" fillId="37" borderId="3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37" borderId="42" applyNumberFormat="0" applyAlignment="0" applyProtection="0">
      <alignment vertical="center"/>
    </xf>
    <xf numFmtId="0" fontId="31" fillId="37" borderId="42" applyNumberFormat="0" applyAlignment="0" applyProtection="0">
      <alignment vertical="center"/>
    </xf>
    <xf numFmtId="0" fontId="31" fillId="37" borderId="42" applyNumberFormat="0" applyAlignment="0" applyProtection="0">
      <alignment vertical="center"/>
    </xf>
    <xf numFmtId="0" fontId="31" fillId="37" borderId="4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37" applyNumberFormat="0" applyAlignment="0" applyProtection="0">
      <alignment vertical="center"/>
    </xf>
    <xf numFmtId="0" fontId="33" fillId="38" borderId="37" applyNumberFormat="0" applyAlignment="0" applyProtection="0">
      <alignment vertical="center"/>
    </xf>
    <xf numFmtId="0" fontId="33" fillId="38" borderId="37" applyNumberFormat="0" applyAlignment="0" applyProtection="0">
      <alignment vertical="center"/>
    </xf>
    <xf numFmtId="0" fontId="33" fillId="38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324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 shrinkToFit="1"/>
    </xf>
    <xf numFmtId="178" fontId="3" fillId="0" borderId="8" xfId="0" applyNumberFormat="1" applyFont="1" applyFill="1" applyBorder="1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left"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1" fillId="0" borderId="0" xfId="0" applyFont="1" applyFill="1" applyAlignment="1">
      <alignment vertical="center" shrinkToFit="1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178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0" fillId="0" borderId="0" xfId="0" applyFill="1"/>
    <xf numFmtId="0" fontId="3" fillId="0" borderId="2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14" xfId="0" applyFont="1" applyFill="1" applyBorder="1" applyAlignment="1">
      <alignment horizontal="distributed" vertical="center" justifyLastLine="1" shrinkToFit="1"/>
    </xf>
    <xf numFmtId="0" fontId="3" fillId="0" borderId="14" xfId="0" applyFont="1" applyFill="1" applyBorder="1" applyAlignment="1">
      <alignment horizontal="distributed" vertical="center" shrinkToFit="1"/>
    </xf>
    <xf numFmtId="0" fontId="3" fillId="0" borderId="15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Border="1" applyAlignment="1">
      <alignment shrinkToFit="1"/>
    </xf>
    <xf numFmtId="0" fontId="3" fillId="0" borderId="16" xfId="0" applyFont="1" applyFill="1" applyBorder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2" xfId="0" applyFont="1" applyFill="1" applyBorder="1" applyAlignment="1">
      <alignment horizontal="distributed" shrinkToFit="1"/>
    </xf>
    <xf numFmtId="178" fontId="3" fillId="0" borderId="17" xfId="0" applyNumberFormat="1" applyFont="1" applyFill="1" applyBorder="1" applyAlignment="1">
      <alignment vertical="center" shrinkToFit="1"/>
    </xf>
    <xf numFmtId="180" fontId="3" fillId="0" borderId="8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0" fontId="3" fillId="0" borderId="1" xfId="0" applyFont="1" applyFill="1" applyBorder="1" applyAlignment="1">
      <alignment vertical="top" shrinkToFit="1"/>
    </xf>
    <xf numFmtId="0" fontId="3" fillId="0" borderId="9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shrinkToFit="1"/>
    </xf>
    <xf numFmtId="0" fontId="3" fillId="0" borderId="0" xfId="0" applyFont="1" applyFill="1" applyAlignment="1">
      <alignment vertical="top" shrinkToFit="1"/>
    </xf>
    <xf numFmtId="177" fontId="9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212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212" fontId="3" fillId="0" borderId="0" xfId="0" applyNumberFormat="1" applyFont="1" applyFill="1" applyBorder="1" applyAlignment="1">
      <alignment vertical="top"/>
    </xf>
    <xf numFmtId="212" fontId="9" fillId="0" borderId="0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96" fontId="3" fillId="0" borderId="7" xfId="0" applyNumberFormat="1" applyFont="1" applyFill="1" applyBorder="1" applyAlignment="1">
      <alignment horizontal="distributed" vertical="center" justifyLastLine="1"/>
    </xf>
    <xf numFmtId="222" fontId="3" fillId="0" borderId="16" xfId="0" applyNumberFormat="1" applyFont="1" applyFill="1" applyBorder="1" applyAlignment="1">
      <alignment vertical="center"/>
    </xf>
    <xf numFmtId="222" fontId="3" fillId="0" borderId="8" xfId="0" applyNumberFormat="1" applyFont="1" applyFill="1" applyBorder="1" applyAlignment="1">
      <alignment vertical="center"/>
    </xf>
    <xf numFmtId="222" fontId="3" fillId="0" borderId="9" xfId="0" applyNumberFormat="1" applyFont="1" applyFill="1" applyBorder="1" applyAlignment="1">
      <alignment vertical="center"/>
    </xf>
    <xf numFmtId="212" fontId="3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top" shrinkToFit="1"/>
    </xf>
    <xf numFmtId="0" fontId="3" fillId="0" borderId="12" xfId="0" applyFont="1" applyFill="1" applyBorder="1" applyAlignment="1">
      <alignment horizontal="distributed" shrinkToFit="1"/>
    </xf>
    <xf numFmtId="0" fontId="9" fillId="0" borderId="0" xfId="0" applyFont="1" applyFill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vertical="top" shrinkToFit="1"/>
    </xf>
    <xf numFmtId="0" fontId="1" fillId="0" borderId="14" xfId="0" applyFont="1" applyFill="1" applyBorder="1" applyAlignment="1">
      <alignment horizontal="distributed" vertical="center" shrinkToFit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 justifyLastLine="1"/>
    </xf>
    <xf numFmtId="199" fontId="3" fillId="0" borderId="0" xfId="0" applyNumberFormat="1" applyFont="1" applyFill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0" fontId="3" fillId="0" borderId="0" xfId="0" quotePrefix="1" applyNumberFormat="1" applyFont="1" applyFill="1" applyBorder="1" applyAlignment="1">
      <alignment vertical="center"/>
    </xf>
    <xf numFmtId="180" fontId="3" fillId="0" borderId="0" xfId="0" applyNumberFormat="1" applyFont="1" applyFill="1" applyAlignment="1"/>
    <xf numFmtId="0" fontId="16" fillId="0" borderId="3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222" fontId="9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top" shrinkToFit="1"/>
    </xf>
    <xf numFmtId="0" fontId="3" fillId="0" borderId="12" xfId="0" applyFont="1" applyFill="1" applyBorder="1" applyAlignment="1">
      <alignment horizontal="distributed" vertical="center" shrinkToFit="1"/>
    </xf>
    <xf numFmtId="0" fontId="3" fillId="0" borderId="23" xfId="0" applyFont="1" applyFill="1" applyBorder="1" applyAlignment="1">
      <alignment vertical="center" shrinkToFit="1"/>
    </xf>
    <xf numFmtId="0" fontId="9" fillId="0" borderId="0" xfId="0" quotePrefix="1" applyFont="1" applyFill="1" applyAlignment="1">
      <alignment horizontal="center" vertical="center" shrinkToFit="1"/>
    </xf>
    <xf numFmtId="0" fontId="9" fillId="0" borderId="0" xfId="0" quotePrefix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 shrinkToFit="1"/>
    </xf>
    <xf numFmtId="199" fontId="3" fillId="0" borderId="8" xfId="0" applyNumberFormat="1" applyFont="1" applyFill="1" applyBorder="1" applyAlignment="1">
      <alignment horizontal="right" vertical="center"/>
    </xf>
    <xf numFmtId="199" fontId="3" fillId="0" borderId="0" xfId="0" applyNumberFormat="1" applyFont="1" applyFill="1" applyBorder="1" applyAlignment="1">
      <alignment horizontal="right" vertical="center"/>
    </xf>
    <xf numFmtId="199" fontId="9" fillId="0" borderId="8" xfId="0" applyNumberFormat="1" applyFont="1" applyFill="1" applyBorder="1" applyAlignment="1">
      <alignment horizontal="right" vertical="center"/>
    </xf>
    <xf numFmtId="199" fontId="3" fillId="0" borderId="9" xfId="0" applyNumberFormat="1" applyFont="1" applyFill="1" applyBorder="1" applyAlignment="1">
      <alignment horizontal="right" vertical="center"/>
    </xf>
    <xf numFmtId="199" fontId="3" fillId="0" borderId="0" xfId="0" applyNumberFormat="1" applyFont="1" applyFill="1" applyBorder="1" applyAlignment="1">
      <alignment horizontal="right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Alignment="1">
      <alignment vertical="center"/>
    </xf>
    <xf numFmtId="222" fontId="3" fillId="0" borderId="16" xfId="0" applyNumberFormat="1" applyFont="1" applyFill="1" applyBorder="1" applyAlignment="1">
      <alignment horizontal="right" vertical="center"/>
    </xf>
    <xf numFmtId="222" fontId="3" fillId="0" borderId="8" xfId="0" applyNumberFormat="1" applyFont="1" applyFill="1" applyBorder="1" applyAlignment="1">
      <alignment horizontal="right" vertical="top"/>
    </xf>
    <xf numFmtId="222" fontId="9" fillId="0" borderId="8" xfId="0" applyNumberFormat="1" applyFont="1" applyFill="1" applyBorder="1" applyAlignment="1">
      <alignment horizontal="right" vertical="center"/>
    </xf>
    <xf numFmtId="222" fontId="3" fillId="0" borderId="8" xfId="0" applyNumberFormat="1" applyFont="1" applyFill="1" applyBorder="1" applyAlignment="1">
      <alignment horizontal="right" vertical="center"/>
    </xf>
    <xf numFmtId="222" fontId="3" fillId="0" borderId="9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vertical="center"/>
    </xf>
    <xf numFmtId="180" fontId="35" fillId="0" borderId="0" xfId="0" applyNumberFormat="1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distributed" vertical="top" shrinkToFit="1"/>
    </xf>
    <xf numFmtId="0" fontId="3" fillId="0" borderId="8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shrinkToFit="1"/>
    </xf>
    <xf numFmtId="178" fontId="3" fillId="0" borderId="12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distributed" vertical="center"/>
    </xf>
    <xf numFmtId="178" fontId="3" fillId="0" borderId="9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distributed" vertical="center" justifyLastLine="1"/>
    </xf>
    <xf numFmtId="0" fontId="0" fillId="0" borderId="27" xfId="0" applyFill="1" applyBorder="1" applyAlignment="1"/>
    <xf numFmtId="180" fontId="3" fillId="0" borderId="16" xfId="0" applyNumberFormat="1" applyFont="1" applyFill="1" applyBorder="1" applyAlignment="1"/>
    <xf numFmtId="180" fontId="3" fillId="0" borderId="27" xfId="0" applyNumberFormat="1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3" fillId="0" borderId="27" xfId="0" applyFont="1" applyFill="1" applyBorder="1" applyAlignment="1"/>
    <xf numFmtId="0" fontId="3" fillId="0" borderId="24" xfId="0" applyFont="1" applyFill="1" applyBorder="1" applyAlignment="1"/>
    <xf numFmtId="180" fontId="9" fillId="0" borderId="16" xfId="0" applyNumberFormat="1" applyFont="1" applyFill="1" applyBorder="1" applyAlignment="1"/>
    <xf numFmtId="180" fontId="9" fillId="0" borderId="27" xfId="0" applyNumberFormat="1" applyFont="1" applyFill="1" applyBorder="1" applyAlignment="1"/>
    <xf numFmtId="0" fontId="3" fillId="0" borderId="12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178" fontId="9" fillId="0" borderId="8" xfId="138" applyNumberFormat="1" applyFont="1" applyFill="1" applyBorder="1" applyAlignment="1">
      <alignment horizontal="right" vertical="center" shrinkToFit="1"/>
    </xf>
    <xf numFmtId="178" fontId="9" fillId="0" borderId="0" xfId="138" applyNumberFormat="1" applyFont="1" applyFill="1" applyBorder="1" applyAlignment="1">
      <alignment horizontal="right" vertical="center" shrinkToFit="1"/>
    </xf>
    <xf numFmtId="178" fontId="9" fillId="0" borderId="2" xfId="138" applyNumberFormat="1" applyFont="1" applyFill="1" applyBorder="1" applyAlignment="1">
      <alignment horizontal="right" vertical="center" shrinkToFit="1"/>
    </xf>
    <xf numFmtId="202" fontId="9" fillId="0" borderId="0" xfId="138" applyNumberFormat="1" applyFont="1" applyFill="1" applyBorder="1" applyAlignment="1">
      <alignment vertical="center" shrinkToFit="1"/>
    </xf>
    <xf numFmtId="38" fontId="9" fillId="0" borderId="2" xfId="138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vertical="center" shrinkToFit="1"/>
    </xf>
    <xf numFmtId="180" fontId="3" fillId="0" borderId="1" xfId="0" applyNumberFormat="1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>
      <alignment vertical="center" shrinkToFit="1"/>
    </xf>
    <xf numFmtId="212" fontId="9" fillId="0" borderId="8" xfId="0" applyNumberFormat="1" applyFont="1" applyFill="1" applyBorder="1" applyAlignment="1">
      <alignment vertical="center" shrinkToFit="1"/>
    </xf>
    <xf numFmtId="212" fontId="9" fillId="0" borderId="0" xfId="0" applyNumberFormat="1" applyFont="1" applyFill="1" applyBorder="1" applyAlignment="1">
      <alignment vertical="center" shrinkToFit="1"/>
    </xf>
    <xf numFmtId="212" fontId="9" fillId="0" borderId="2" xfId="0" applyNumberFormat="1" applyFont="1" applyFill="1" applyBorder="1" applyAlignment="1">
      <alignment vertical="center" shrinkToFit="1"/>
    </xf>
    <xf numFmtId="178" fontId="3" fillId="0" borderId="27" xfId="0" applyNumberFormat="1" applyFont="1" applyFill="1" applyBorder="1" applyAlignment="1">
      <alignment vertical="center" shrinkToFit="1"/>
    </xf>
    <xf numFmtId="178" fontId="3" fillId="0" borderId="2" xfId="0" applyNumberFormat="1" applyFont="1" applyFill="1" applyBorder="1" applyAlignment="1">
      <alignment vertical="center" shrinkToFit="1"/>
    </xf>
    <xf numFmtId="178" fontId="3" fillId="0" borderId="27" xfId="0" applyNumberFormat="1" applyFont="1" applyFill="1" applyBorder="1" applyAlignment="1">
      <alignment shrinkToFit="1"/>
    </xf>
    <xf numFmtId="178" fontId="3" fillId="0" borderId="24" xfId="0" applyNumberFormat="1" applyFont="1" applyFill="1" applyBorder="1" applyAlignment="1">
      <alignment shrinkToFit="1"/>
    </xf>
    <xf numFmtId="180" fontId="3" fillId="0" borderId="27" xfId="0" applyNumberFormat="1" applyFont="1" applyFill="1" applyBorder="1" applyAlignment="1">
      <alignment shrinkToFit="1"/>
    </xf>
    <xf numFmtId="180" fontId="3" fillId="0" borderId="28" xfId="0" applyNumberFormat="1" applyFont="1" applyFill="1" applyBorder="1" applyAlignment="1">
      <alignment shrinkToFit="1"/>
    </xf>
    <xf numFmtId="178" fontId="3" fillId="0" borderId="2" xfId="0" applyNumberFormat="1" applyFont="1" applyFill="1" applyBorder="1" applyAlignment="1">
      <alignment vertical="top" shrinkToFit="1"/>
    </xf>
    <xf numFmtId="180" fontId="3" fillId="0" borderId="0" xfId="0" applyNumberFormat="1" applyFont="1" applyFill="1" applyBorder="1" applyAlignment="1">
      <alignment shrinkToFit="1"/>
    </xf>
    <xf numFmtId="180" fontId="3" fillId="0" borderId="17" xfId="0" applyNumberFormat="1" applyFont="1" applyFill="1" applyBorder="1" applyAlignment="1">
      <alignment shrinkToFit="1"/>
    </xf>
    <xf numFmtId="180" fontId="3" fillId="0" borderId="2" xfId="0" applyNumberFormat="1" applyFont="1" applyFill="1" applyBorder="1" applyAlignment="1">
      <alignment shrinkToFit="1"/>
    </xf>
    <xf numFmtId="0" fontId="3" fillId="0" borderId="25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vertical="top" shrinkToFit="1"/>
    </xf>
    <xf numFmtId="178" fontId="3" fillId="0" borderId="12" xfId="0" applyNumberFormat="1" applyFont="1" applyFill="1" applyBorder="1" applyAlignment="1">
      <alignment vertical="top" shrinkToFit="1"/>
    </xf>
    <xf numFmtId="199" fontId="9" fillId="0" borderId="0" xfId="0" applyNumberFormat="1" applyFont="1" applyFill="1" applyBorder="1" applyAlignment="1">
      <alignment horizontal="right" vertical="center"/>
    </xf>
    <xf numFmtId="199" fontId="9" fillId="0" borderId="0" xfId="0" applyNumberFormat="1" applyFont="1" applyFill="1" applyBorder="1" applyAlignment="1">
      <alignment horizontal="right" vertical="center" shrinkToFit="1"/>
    </xf>
    <xf numFmtId="199" fontId="3" fillId="0" borderId="0" xfId="0" applyNumberFormat="1" applyFont="1" applyFill="1" applyAlignment="1">
      <alignment horizontal="right" vertical="center"/>
    </xf>
    <xf numFmtId="199" fontId="3" fillId="0" borderId="1" xfId="0" applyNumberFormat="1" applyFont="1" applyFill="1" applyBorder="1" applyAlignment="1">
      <alignment horizontal="right" vertical="center"/>
    </xf>
    <xf numFmtId="49" fontId="9" fillId="0" borderId="0" xfId="0" quotePrefix="1" applyNumberFormat="1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8" fontId="3" fillId="0" borderId="0" xfId="0" applyNumberFormat="1" applyFont="1" applyFill="1" applyAlignment="1">
      <alignment vertical="top"/>
    </xf>
    <xf numFmtId="0" fontId="9" fillId="0" borderId="2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9" fillId="0" borderId="0" xfId="0" quotePrefix="1" applyFont="1" applyFill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24" xfId="0" applyFont="1" applyFill="1" applyBorder="1" applyAlignment="1">
      <alignment horizontal="distributed"/>
    </xf>
    <xf numFmtId="180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0" fillId="0" borderId="0" xfId="0" applyFill="1" applyAlignment="1"/>
    <xf numFmtId="0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0" xfId="0" quotePrefix="1" applyFont="1" applyFill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/>
    </xf>
    <xf numFmtId="0" fontId="0" fillId="0" borderId="27" xfId="0" applyFill="1" applyBorder="1" applyAlignment="1"/>
    <xf numFmtId="0" fontId="1" fillId="0" borderId="8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1" fillId="0" borderId="14" xfId="0" applyFont="1" applyFill="1" applyBorder="1" applyAlignment="1">
      <alignment horizontal="distributed" vertical="center" shrinkToFit="1"/>
    </xf>
    <xf numFmtId="0" fontId="1" fillId="0" borderId="30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1" fillId="0" borderId="10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distributed" vertical="center" shrinkToFit="1"/>
    </xf>
    <xf numFmtId="0" fontId="9" fillId="0" borderId="24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14" xfId="0" applyFont="1" applyFill="1" applyBorder="1" applyAlignment="1">
      <alignment horizontal="distributed" vertical="center" shrinkToFit="1"/>
    </xf>
    <xf numFmtId="0" fontId="3" fillId="0" borderId="30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distributed" shrinkToFit="1"/>
    </xf>
    <xf numFmtId="0" fontId="3" fillId="0" borderId="10" xfId="0" applyFont="1" applyFill="1" applyBorder="1" applyAlignment="1">
      <alignment horizontal="distributed" vertical="center" shrinkToFit="1"/>
    </xf>
    <xf numFmtId="58" fontId="9" fillId="0" borderId="1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9" fillId="0" borderId="0" xfId="0" quotePrefix="1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33" xfId="0" applyFont="1" applyFill="1" applyBorder="1" applyAlignment="1">
      <alignment horizontal="distributed" vertical="center" justifyLastLine="1"/>
    </xf>
    <xf numFmtId="0" fontId="3" fillId="0" borderId="32" xfId="0" applyFont="1" applyFill="1" applyBorder="1" applyAlignment="1">
      <alignment horizontal="distributed" vertical="center" justifyLastLine="1"/>
    </xf>
    <xf numFmtId="0" fontId="3" fillId="0" borderId="31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0" fillId="0" borderId="4" xfId="0" applyFill="1" applyBorder="1"/>
    <xf numFmtId="0" fontId="0" fillId="0" borderId="13" xfId="0" applyFill="1" applyBorder="1"/>
    <xf numFmtId="0" fontId="3" fillId="0" borderId="14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30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</cellXfs>
  <cellStyles count="188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" xfId="138" builtinId="6"/>
    <cellStyle name="桁区切り 2" xfId="139"/>
    <cellStyle name="見出し 1" xfId="140" builtinId="16" customBuiltin="1"/>
    <cellStyle name="見出し 1 2" xfId="141"/>
    <cellStyle name="見出し 1 3" xfId="142"/>
    <cellStyle name="見出し 1 4" xfId="143"/>
    <cellStyle name="見出し 2" xfId="144" builtinId="17" customBuiltin="1"/>
    <cellStyle name="見出し 2 2" xfId="145"/>
    <cellStyle name="見出し 2 3" xfId="146"/>
    <cellStyle name="見出し 2 4" xfId="147"/>
    <cellStyle name="見出し 3" xfId="148" builtinId="18" customBuiltin="1"/>
    <cellStyle name="見出し 3 2" xfId="149"/>
    <cellStyle name="見出し 3 3" xfId="150"/>
    <cellStyle name="見出し 3 4" xfId="151"/>
    <cellStyle name="見出し 4" xfId="152" builtinId="19" customBuiltin="1"/>
    <cellStyle name="見出し 4 2" xfId="153"/>
    <cellStyle name="見出し 4 3" xfId="154"/>
    <cellStyle name="見出し 4 4" xfId="155"/>
    <cellStyle name="集計" xfId="156" builtinId="25" customBuiltin="1"/>
    <cellStyle name="集計 2" xfId="157"/>
    <cellStyle name="集計 3" xfId="158"/>
    <cellStyle name="集計 4" xfId="159"/>
    <cellStyle name="出力" xfId="160" builtinId="21" customBuiltin="1"/>
    <cellStyle name="出力 2" xfId="161"/>
    <cellStyle name="出力 3" xfId="162"/>
    <cellStyle name="出力 4" xfId="163"/>
    <cellStyle name="説明文" xfId="164" builtinId="53" customBuiltin="1"/>
    <cellStyle name="説明文 2" xfId="165"/>
    <cellStyle name="説明文 3" xfId="166"/>
    <cellStyle name="説明文 4" xfId="167"/>
    <cellStyle name="入力" xfId="168" builtinId="20" customBuiltin="1"/>
    <cellStyle name="入力 2" xfId="169"/>
    <cellStyle name="入力 3" xfId="170"/>
    <cellStyle name="入力 4" xfId="171"/>
    <cellStyle name="標準" xfId="0" builtinId="0"/>
    <cellStyle name="標準 2" xfId="172"/>
    <cellStyle name="標準 2 2" xfId="173"/>
    <cellStyle name="標準 2 3" xfId="174"/>
    <cellStyle name="標準 3" xfId="175"/>
    <cellStyle name="標準 3 2" xfId="176"/>
    <cellStyle name="標準 3 3" xfId="177"/>
    <cellStyle name="標準 4" xfId="178"/>
    <cellStyle name="標準 4 2" xfId="179"/>
    <cellStyle name="標準 5" xfId="180"/>
    <cellStyle name="標準 5 2" xfId="181"/>
    <cellStyle name="標準 6" xfId="182"/>
    <cellStyle name="標準 7" xfId="183"/>
    <cellStyle name="良い" xfId="184" builtinId="26" customBuiltin="1"/>
    <cellStyle name="良い 2" xfId="185"/>
    <cellStyle name="良い 3" xfId="186"/>
    <cellStyle name="良い 4" xfId="1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76200</xdr:rowOff>
    </xdr:from>
    <xdr:to>
      <xdr:col>6</xdr:col>
      <xdr:colOff>609600</xdr:colOff>
      <xdr:row>38</xdr:row>
      <xdr:rowOff>76200</xdr:rowOff>
    </xdr:to>
    <xdr:sp macro="" textlink="">
      <xdr:nvSpPr>
        <xdr:cNvPr id="1425261" name="Line 17"/>
        <xdr:cNvSpPr>
          <a:spLocks noChangeShapeType="1"/>
        </xdr:cNvSpPr>
      </xdr:nvSpPr>
      <xdr:spPr bwMode="auto">
        <a:xfrm>
          <a:off x="419100" y="6524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15</xdr:row>
      <xdr:rowOff>76200</xdr:rowOff>
    </xdr:from>
    <xdr:to>
      <xdr:col>44</xdr:col>
      <xdr:colOff>542925</xdr:colOff>
      <xdr:row>15</xdr:row>
      <xdr:rowOff>76200</xdr:rowOff>
    </xdr:to>
    <xdr:sp macro="" textlink="">
      <xdr:nvSpPr>
        <xdr:cNvPr id="1425262" name="Line 59"/>
        <xdr:cNvSpPr>
          <a:spLocks noChangeShapeType="1"/>
        </xdr:cNvSpPr>
      </xdr:nvSpPr>
      <xdr:spPr bwMode="auto">
        <a:xfrm>
          <a:off x="21936075" y="276225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8</xdr:row>
      <xdr:rowOff>66675</xdr:rowOff>
    </xdr:from>
    <xdr:to>
      <xdr:col>6</xdr:col>
      <xdr:colOff>609600</xdr:colOff>
      <xdr:row>8</xdr:row>
      <xdr:rowOff>66675</xdr:rowOff>
    </xdr:to>
    <xdr:sp macro="" textlink="">
      <xdr:nvSpPr>
        <xdr:cNvPr id="1425263" name="Line 63"/>
        <xdr:cNvSpPr>
          <a:spLocks noChangeShapeType="1"/>
        </xdr:cNvSpPr>
      </xdr:nvSpPr>
      <xdr:spPr bwMode="auto">
        <a:xfrm>
          <a:off x="400050" y="16192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8</xdr:row>
      <xdr:rowOff>85725</xdr:rowOff>
    </xdr:from>
    <xdr:to>
      <xdr:col>50</xdr:col>
      <xdr:colOff>542925</xdr:colOff>
      <xdr:row>8</xdr:row>
      <xdr:rowOff>85725</xdr:rowOff>
    </xdr:to>
    <xdr:sp macro="" textlink="">
      <xdr:nvSpPr>
        <xdr:cNvPr id="1425264" name="Line 75"/>
        <xdr:cNvSpPr>
          <a:spLocks noChangeShapeType="1"/>
        </xdr:cNvSpPr>
      </xdr:nvSpPr>
      <xdr:spPr bwMode="auto">
        <a:xfrm flipV="1">
          <a:off x="25298400" y="16383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41</xdr:row>
      <xdr:rowOff>123825</xdr:rowOff>
    </xdr:from>
    <xdr:to>
      <xdr:col>6</xdr:col>
      <xdr:colOff>600075</xdr:colOff>
      <xdr:row>41</xdr:row>
      <xdr:rowOff>123825</xdr:rowOff>
    </xdr:to>
    <xdr:sp macro="" textlink="">
      <xdr:nvSpPr>
        <xdr:cNvPr id="1425265" name="Line 197"/>
        <xdr:cNvSpPr>
          <a:spLocks noChangeShapeType="1"/>
        </xdr:cNvSpPr>
      </xdr:nvSpPr>
      <xdr:spPr bwMode="auto">
        <a:xfrm>
          <a:off x="333375" y="7058025"/>
          <a:ext cx="3619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</xdr:row>
      <xdr:rowOff>76200</xdr:rowOff>
    </xdr:from>
    <xdr:to>
      <xdr:col>24</xdr:col>
      <xdr:colOff>542925</xdr:colOff>
      <xdr:row>5</xdr:row>
      <xdr:rowOff>76200</xdr:rowOff>
    </xdr:to>
    <xdr:sp macro="" textlink="">
      <xdr:nvSpPr>
        <xdr:cNvPr id="1425266" name="Line 219"/>
        <xdr:cNvSpPr>
          <a:spLocks noChangeShapeType="1"/>
        </xdr:cNvSpPr>
      </xdr:nvSpPr>
      <xdr:spPr bwMode="auto">
        <a:xfrm>
          <a:off x="10677525" y="1133475"/>
          <a:ext cx="3409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41</xdr:row>
      <xdr:rowOff>76200</xdr:rowOff>
    </xdr:from>
    <xdr:to>
      <xdr:col>38</xdr:col>
      <xdr:colOff>476250</xdr:colOff>
      <xdr:row>41</xdr:row>
      <xdr:rowOff>76200</xdr:rowOff>
    </xdr:to>
    <xdr:sp macro="" textlink="">
      <xdr:nvSpPr>
        <xdr:cNvPr id="1425267" name="Line 1003"/>
        <xdr:cNvSpPr>
          <a:spLocks noChangeShapeType="1"/>
        </xdr:cNvSpPr>
      </xdr:nvSpPr>
      <xdr:spPr bwMode="auto">
        <a:xfrm>
          <a:off x="18592800" y="7010400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24</xdr:row>
      <xdr:rowOff>76200</xdr:rowOff>
    </xdr:from>
    <xdr:to>
      <xdr:col>13</xdr:col>
      <xdr:colOff>9525</xdr:colOff>
      <xdr:row>24</xdr:row>
      <xdr:rowOff>76200</xdr:rowOff>
    </xdr:to>
    <xdr:sp macro="" textlink="">
      <xdr:nvSpPr>
        <xdr:cNvPr id="1425268" name="Line 1219"/>
        <xdr:cNvSpPr>
          <a:spLocks noChangeShapeType="1"/>
        </xdr:cNvSpPr>
      </xdr:nvSpPr>
      <xdr:spPr bwMode="auto">
        <a:xfrm>
          <a:off x="4086225" y="42576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29</xdr:row>
      <xdr:rowOff>95250</xdr:rowOff>
    </xdr:from>
    <xdr:to>
      <xdr:col>18</xdr:col>
      <xdr:colOff>552450</xdr:colOff>
      <xdr:row>29</xdr:row>
      <xdr:rowOff>95250</xdr:rowOff>
    </xdr:to>
    <xdr:sp macro="" textlink="">
      <xdr:nvSpPr>
        <xdr:cNvPr id="1425269" name="Line 1237"/>
        <xdr:cNvSpPr>
          <a:spLocks noChangeShapeType="1"/>
        </xdr:cNvSpPr>
      </xdr:nvSpPr>
      <xdr:spPr bwMode="auto">
        <a:xfrm>
          <a:off x="7305675" y="50863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43</xdr:row>
      <xdr:rowOff>95250</xdr:rowOff>
    </xdr:from>
    <xdr:to>
      <xdr:col>25</xdr:col>
      <xdr:colOff>19050</xdr:colOff>
      <xdr:row>43</xdr:row>
      <xdr:rowOff>95250</xdr:rowOff>
    </xdr:to>
    <xdr:sp macro="" textlink="">
      <xdr:nvSpPr>
        <xdr:cNvPr id="1425270" name="Line 1240"/>
        <xdr:cNvSpPr>
          <a:spLocks noChangeShapeType="1"/>
        </xdr:cNvSpPr>
      </xdr:nvSpPr>
      <xdr:spPr bwMode="auto">
        <a:xfrm>
          <a:off x="10696575" y="7353300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85725</xdr:rowOff>
    </xdr:from>
    <xdr:to>
      <xdr:col>18</xdr:col>
      <xdr:colOff>571500</xdr:colOff>
      <xdr:row>9</xdr:row>
      <xdr:rowOff>85725</xdr:rowOff>
    </xdr:to>
    <xdr:sp macro="" textlink="">
      <xdr:nvSpPr>
        <xdr:cNvPr id="1425271" name="Line 1251"/>
        <xdr:cNvSpPr>
          <a:spLocks noChangeShapeType="1"/>
        </xdr:cNvSpPr>
      </xdr:nvSpPr>
      <xdr:spPr bwMode="auto">
        <a:xfrm>
          <a:off x="7381875" y="1800225"/>
          <a:ext cx="325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39</xdr:row>
      <xdr:rowOff>85725</xdr:rowOff>
    </xdr:from>
    <xdr:to>
      <xdr:col>12</xdr:col>
      <xdr:colOff>542925</xdr:colOff>
      <xdr:row>39</xdr:row>
      <xdr:rowOff>85725</xdr:rowOff>
    </xdr:to>
    <xdr:sp macro="" textlink="">
      <xdr:nvSpPr>
        <xdr:cNvPr id="1425272" name="Line 1252"/>
        <xdr:cNvSpPr>
          <a:spLocks noChangeShapeType="1"/>
        </xdr:cNvSpPr>
      </xdr:nvSpPr>
      <xdr:spPr bwMode="auto">
        <a:xfrm>
          <a:off x="4057650" y="66960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44</xdr:row>
      <xdr:rowOff>95250</xdr:rowOff>
    </xdr:from>
    <xdr:to>
      <xdr:col>18</xdr:col>
      <xdr:colOff>495300</xdr:colOff>
      <xdr:row>44</xdr:row>
      <xdr:rowOff>95250</xdr:rowOff>
    </xdr:to>
    <xdr:sp macro="" textlink="">
      <xdr:nvSpPr>
        <xdr:cNvPr id="1425273" name="Line 1253"/>
        <xdr:cNvSpPr>
          <a:spLocks noChangeShapeType="1"/>
        </xdr:cNvSpPr>
      </xdr:nvSpPr>
      <xdr:spPr bwMode="auto">
        <a:xfrm>
          <a:off x="7324725" y="7515225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22</xdr:row>
      <xdr:rowOff>76200</xdr:rowOff>
    </xdr:from>
    <xdr:to>
      <xdr:col>38</xdr:col>
      <xdr:colOff>571500</xdr:colOff>
      <xdr:row>22</xdr:row>
      <xdr:rowOff>76200</xdr:rowOff>
    </xdr:to>
    <xdr:sp macro="" textlink="">
      <xdr:nvSpPr>
        <xdr:cNvPr id="1425274" name="Line 1255"/>
        <xdr:cNvSpPr>
          <a:spLocks noChangeShapeType="1"/>
        </xdr:cNvSpPr>
      </xdr:nvSpPr>
      <xdr:spPr bwMode="auto">
        <a:xfrm flipV="1">
          <a:off x="18535650" y="39338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47625</xdr:colOff>
      <xdr:row>27</xdr:row>
      <xdr:rowOff>76200</xdr:rowOff>
    </xdr:from>
    <xdr:to>
      <xdr:col>32</xdr:col>
      <xdr:colOff>514350</xdr:colOff>
      <xdr:row>27</xdr:row>
      <xdr:rowOff>76200</xdr:rowOff>
    </xdr:to>
    <xdr:sp macro="" textlink="">
      <xdr:nvSpPr>
        <xdr:cNvPr id="1425275" name="Line 1256"/>
        <xdr:cNvSpPr>
          <a:spLocks noChangeShapeType="1"/>
        </xdr:cNvSpPr>
      </xdr:nvSpPr>
      <xdr:spPr bwMode="auto">
        <a:xfrm>
          <a:off x="15135225" y="47434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371475</xdr:colOff>
      <xdr:row>41</xdr:row>
      <xdr:rowOff>76200</xdr:rowOff>
    </xdr:from>
    <xdr:to>
      <xdr:col>32</xdr:col>
      <xdr:colOff>571500</xdr:colOff>
      <xdr:row>41</xdr:row>
      <xdr:rowOff>76200</xdr:rowOff>
    </xdr:to>
    <xdr:sp macro="" textlink="">
      <xdr:nvSpPr>
        <xdr:cNvPr id="1425276" name="Line 1257"/>
        <xdr:cNvSpPr>
          <a:spLocks noChangeShapeType="1"/>
        </xdr:cNvSpPr>
      </xdr:nvSpPr>
      <xdr:spPr bwMode="auto">
        <a:xfrm>
          <a:off x="15078075" y="7010400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16</xdr:row>
      <xdr:rowOff>76200</xdr:rowOff>
    </xdr:from>
    <xdr:to>
      <xdr:col>24</xdr:col>
      <xdr:colOff>571500</xdr:colOff>
      <xdr:row>16</xdr:row>
      <xdr:rowOff>76200</xdr:rowOff>
    </xdr:to>
    <xdr:sp macro="" textlink="">
      <xdr:nvSpPr>
        <xdr:cNvPr id="1425277" name="Line 1240"/>
        <xdr:cNvSpPr>
          <a:spLocks noChangeShapeType="1"/>
        </xdr:cNvSpPr>
      </xdr:nvSpPr>
      <xdr:spPr bwMode="auto">
        <a:xfrm>
          <a:off x="10668000" y="292417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76200</xdr:rowOff>
    </xdr:from>
    <xdr:to>
      <xdr:col>6</xdr:col>
      <xdr:colOff>609600</xdr:colOff>
      <xdr:row>5</xdr:row>
      <xdr:rowOff>76200</xdr:rowOff>
    </xdr:to>
    <xdr:sp macro="" textlink="">
      <xdr:nvSpPr>
        <xdr:cNvPr id="1425278" name="Line 63"/>
        <xdr:cNvSpPr>
          <a:spLocks noChangeShapeType="1"/>
        </xdr:cNvSpPr>
      </xdr:nvSpPr>
      <xdr:spPr bwMode="auto">
        <a:xfrm>
          <a:off x="400050" y="1133475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2D050"/>
  </sheetPr>
  <dimension ref="B2:K62"/>
  <sheetViews>
    <sheetView showGridLines="0" tabSelected="1" view="pageBreakPreview" zoomScaleNormal="100" workbookViewId="0">
      <pane ySplit="5" topLeftCell="A6" activePane="bottomLeft" state="frozen"/>
      <selection activeCell="O42" sqref="O42"/>
      <selection pane="bottomLeft"/>
    </sheetView>
  </sheetViews>
  <sheetFormatPr defaultRowHeight="13.5" customHeight="1"/>
  <cols>
    <col min="1" max="1" width="5" style="2" customWidth="1"/>
    <col min="2" max="2" width="6.625" style="2" customWidth="1"/>
    <col min="3" max="3" width="3.625" style="2" customWidth="1"/>
    <col min="4" max="4" width="5.125" style="2" customWidth="1"/>
    <col min="5" max="5" width="9.625" style="2" customWidth="1"/>
    <col min="6" max="6" width="10.125" style="2" customWidth="1"/>
    <col min="7" max="8" width="9.125" style="2" customWidth="1"/>
    <col min="9" max="9" width="8.625" style="2" customWidth="1"/>
    <col min="10" max="10" width="9" style="2"/>
    <col min="11" max="11" width="8.625" style="2" customWidth="1"/>
    <col min="12" max="12" width="3.125" style="2" customWidth="1"/>
    <col min="13" max="16384" width="9" style="2"/>
  </cols>
  <sheetData>
    <row r="2" spans="2:11" s="11" customFormat="1" ht="18" customHeight="1">
      <c r="E2" s="125" t="s">
        <v>556</v>
      </c>
      <c r="F2" s="246" t="s">
        <v>578</v>
      </c>
      <c r="G2" s="246"/>
      <c r="H2" s="246"/>
      <c r="I2" s="246"/>
    </row>
    <row r="3" spans="2:11" ht="18" customHeight="1" thickBot="1">
      <c r="J3" s="245" t="s">
        <v>27</v>
      </c>
      <c r="K3" s="245"/>
    </row>
    <row r="4" spans="2:11" ht="18" customHeight="1">
      <c r="B4" s="247" t="s">
        <v>28</v>
      </c>
      <c r="C4" s="247"/>
      <c r="D4" s="247"/>
      <c r="E4" s="249" t="s">
        <v>29</v>
      </c>
      <c r="F4" s="251" t="s">
        <v>30</v>
      </c>
      <c r="G4" s="252"/>
      <c r="H4" s="252"/>
      <c r="I4" s="252"/>
      <c r="J4" s="253" t="s">
        <v>31</v>
      </c>
      <c r="K4" s="159" t="s">
        <v>32</v>
      </c>
    </row>
    <row r="5" spans="2:11" ht="18" customHeight="1">
      <c r="B5" s="248"/>
      <c r="C5" s="248"/>
      <c r="D5" s="248"/>
      <c r="E5" s="250"/>
      <c r="F5" s="18" t="s">
        <v>33</v>
      </c>
      <c r="G5" s="37" t="s">
        <v>34</v>
      </c>
      <c r="H5" s="37" t="s">
        <v>35</v>
      </c>
      <c r="I5" s="37" t="s">
        <v>36</v>
      </c>
      <c r="J5" s="254"/>
      <c r="K5" s="18" t="s">
        <v>37</v>
      </c>
    </row>
    <row r="6" spans="2:11" ht="12.75" customHeight="1">
      <c r="B6" s="35" t="s">
        <v>38</v>
      </c>
      <c r="C6" s="1">
        <v>11</v>
      </c>
      <c r="D6" s="160" t="s">
        <v>39</v>
      </c>
      <c r="E6" s="46">
        <v>10981</v>
      </c>
      <c r="F6" s="36">
        <f>G6+H6</f>
        <v>52684</v>
      </c>
      <c r="G6" s="36">
        <v>26669</v>
      </c>
      <c r="H6" s="36">
        <v>26015</v>
      </c>
      <c r="I6" s="10">
        <f>IF(F6 &gt; 0,F6/F6*100,"-")</f>
        <v>100</v>
      </c>
      <c r="J6" s="10">
        <f>IF(F6&gt;0,F6/E6,"-")</f>
        <v>4.7977415535925694</v>
      </c>
      <c r="K6" s="10">
        <v>833.3</v>
      </c>
    </row>
    <row r="7" spans="2:11" ht="12.75" customHeight="1">
      <c r="B7" s="1"/>
      <c r="C7" s="1"/>
      <c r="D7" s="1"/>
      <c r="E7" s="46"/>
      <c r="F7" s="36"/>
      <c r="G7" s="36"/>
      <c r="H7" s="36"/>
      <c r="I7" s="10"/>
      <c r="J7" s="10"/>
      <c r="K7" s="10"/>
    </row>
    <row r="8" spans="2:11" ht="12.75" customHeight="1">
      <c r="B8" s="1"/>
      <c r="C8" s="1">
        <v>30</v>
      </c>
      <c r="D8" s="1"/>
      <c r="E8" s="46">
        <v>20926</v>
      </c>
      <c r="F8" s="36">
        <f>G8+H8</f>
        <v>96480</v>
      </c>
      <c r="G8" s="36">
        <v>47089</v>
      </c>
      <c r="H8" s="36">
        <v>49391</v>
      </c>
      <c r="I8" s="10">
        <f>IF(F8 &gt; 0,F8/$F$6 * 100,"-")</f>
        <v>183.12960291549615</v>
      </c>
      <c r="J8" s="10">
        <f>IF(F8&gt;0,F8/E8,"-")</f>
        <v>4.6105323520978683</v>
      </c>
      <c r="K8" s="10">
        <v>526</v>
      </c>
    </row>
    <row r="9" spans="2:11" ht="12.75" customHeight="1">
      <c r="B9" s="1"/>
      <c r="C9" s="1"/>
      <c r="D9" s="1"/>
      <c r="E9" s="46"/>
      <c r="F9" s="36"/>
      <c r="G9" s="36"/>
      <c r="H9" s="36"/>
      <c r="I9" s="10"/>
      <c r="J9" s="10"/>
      <c r="K9" s="10"/>
    </row>
    <row r="10" spans="2:11" ht="12.75" customHeight="1">
      <c r="B10" s="1"/>
      <c r="C10" s="1">
        <v>35</v>
      </c>
      <c r="D10" s="1"/>
      <c r="E10" s="46">
        <v>22457</v>
      </c>
      <c r="F10" s="36">
        <f>G10+H10</f>
        <v>98360</v>
      </c>
      <c r="G10" s="36">
        <v>48405</v>
      </c>
      <c r="H10" s="36">
        <v>49955</v>
      </c>
      <c r="I10" s="10">
        <f>IF(F10 &gt; 0,F10/$F$6 * 100,"-")</f>
        <v>186.69804874345152</v>
      </c>
      <c r="J10" s="10">
        <f>IF(F10&gt;0,F10/E10,"-")</f>
        <v>4.3799260809547134</v>
      </c>
      <c r="K10" s="10">
        <v>536.29999999999995</v>
      </c>
    </row>
    <row r="11" spans="2:11" ht="12.75" customHeight="1">
      <c r="B11" s="1"/>
      <c r="C11" s="1"/>
      <c r="D11" s="1"/>
      <c r="E11" s="46"/>
      <c r="F11" s="36"/>
      <c r="G11" s="36"/>
      <c r="H11" s="36"/>
      <c r="I11" s="10"/>
      <c r="J11" s="10"/>
      <c r="K11" s="10"/>
    </row>
    <row r="12" spans="2:11" ht="12.75" customHeight="1">
      <c r="B12" s="1"/>
      <c r="C12" s="1">
        <v>40</v>
      </c>
      <c r="D12" s="1"/>
      <c r="E12" s="46">
        <v>25014</v>
      </c>
      <c r="F12" s="36">
        <f>G12+H12</f>
        <v>100106</v>
      </c>
      <c r="G12" s="36">
        <v>49000</v>
      </c>
      <c r="H12" s="36">
        <v>51106</v>
      </c>
      <c r="I12" s="10">
        <f>IF(F12 &gt; 0,F12/$F$6 * 100,"-")</f>
        <v>190.01214790069093</v>
      </c>
      <c r="J12" s="10">
        <f>IF(F12&gt;0,F12/E12,"-")</f>
        <v>4.0019988806268492</v>
      </c>
      <c r="K12" s="10">
        <v>545.79999999999995</v>
      </c>
    </row>
    <row r="13" spans="2:11" ht="12.75" customHeight="1">
      <c r="B13" s="1"/>
      <c r="C13" s="1"/>
      <c r="D13" s="1"/>
      <c r="E13" s="46"/>
      <c r="F13" s="36"/>
      <c r="G13" s="36"/>
      <c r="H13" s="36"/>
      <c r="I13" s="10"/>
      <c r="J13" s="10"/>
      <c r="K13" s="10"/>
    </row>
    <row r="14" spans="2:11" ht="12.75" customHeight="1">
      <c r="B14" s="1"/>
      <c r="C14" s="1">
        <v>45</v>
      </c>
      <c r="D14" s="1"/>
      <c r="E14" s="46">
        <v>27921</v>
      </c>
      <c r="F14" s="36">
        <f>G14+H14</f>
        <v>99101</v>
      </c>
      <c r="G14" s="36">
        <v>47176</v>
      </c>
      <c r="H14" s="36">
        <v>51925</v>
      </c>
      <c r="I14" s="10">
        <f>IF(F14 &gt; 0,F14/$F$6 * 100,"-")</f>
        <v>188.10454787032117</v>
      </c>
      <c r="J14" s="10">
        <f>IF(F14&gt;0,F14/E14,"-")</f>
        <v>3.5493356255148454</v>
      </c>
      <c r="K14" s="10">
        <v>538.5</v>
      </c>
    </row>
    <row r="15" spans="2:11" ht="12.75" customHeight="1">
      <c r="B15" s="1"/>
      <c r="C15" s="1"/>
      <c r="D15" s="1"/>
      <c r="E15" s="46"/>
      <c r="F15" s="36"/>
      <c r="G15" s="36"/>
      <c r="H15" s="36"/>
      <c r="I15" s="10"/>
      <c r="J15" s="10"/>
      <c r="K15" s="10"/>
    </row>
    <row r="16" spans="2:11" ht="12.75" customHeight="1">
      <c r="B16" s="1"/>
      <c r="C16" s="1">
        <v>50</v>
      </c>
      <c r="D16" s="1"/>
      <c r="E16" s="46">
        <v>31821</v>
      </c>
      <c r="F16" s="36">
        <f>G16+H16</f>
        <v>106062</v>
      </c>
      <c r="G16" s="36">
        <v>50963</v>
      </c>
      <c r="H16" s="36">
        <v>55099</v>
      </c>
      <c r="I16" s="10">
        <f>IF(F16 &gt; 0,F16/$F$6 * 100,"-")</f>
        <v>201.31728798117075</v>
      </c>
      <c r="J16" s="10">
        <f>IF(F16&gt;0,F16/E16,"-")</f>
        <v>3.3330819270293204</v>
      </c>
      <c r="K16" s="10">
        <v>570</v>
      </c>
    </row>
    <row r="17" spans="2:11" ht="12.75" customHeight="1">
      <c r="B17" s="1"/>
      <c r="C17" s="1"/>
      <c r="D17" s="1"/>
      <c r="E17" s="46"/>
      <c r="F17" s="36"/>
      <c r="G17" s="36"/>
      <c r="H17" s="36"/>
      <c r="I17" s="10"/>
      <c r="J17" s="10"/>
      <c r="K17" s="10"/>
    </row>
    <row r="18" spans="2:11" ht="12.75" customHeight="1">
      <c r="B18" s="1"/>
      <c r="C18" s="1">
        <v>55</v>
      </c>
      <c r="D18" s="1"/>
      <c r="E18" s="46">
        <v>36444</v>
      </c>
      <c r="F18" s="36">
        <f>G18+H18</f>
        <v>111795</v>
      </c>
      <c r="G18" s="36">
        <v>53684</v>
      </c>
      <c r="H18" s="36">
        <v>58111</v>
      </c>
      <c r="I18" s="10">
        <f>IF(F18 &gt; 0,F18/$F$6 * 100,"-")</f>
        <v>212.19914964695167</v>
      </c>
      <c r="J18" s="10">
        <f>IF(F18&gt;0,F18/E18,"-")</f>
        <v>3.0675831412578201</v>
      </c>
      <c r="K18" s="10">
        <v>600.9</v>
      </c>
    </row>
    <row r="19" spans="2:11" ht="12.75" customHeight="1">
      <c r="B19" s="1"/>
      <c r="C19" s="1"/>
      <c r="D19" s="1"/>
      <c r="E19" s="46"/>
      <c r="F19" s="36"/>
      <c r="G19" s="36"/>
      <c r="H19" s="36"/>
      <c r="I19" s="10"/>
      <c r="J19" s="10"/>
      <c r="K19" s="10"/>
    </row>
    <row r="20" spans="2:11" ht="12.75" customHeight="1">
      <c r="B20" s="1"/>
      <c r="C20" s="1">
        <v>60</v>
      </c>
      <c r="D20" s="1"/>
      <c r="E20" s="46">
        <v>40224</v>
      </c>
      <c r="F20" s="36">
        <f>G20+H20</f>
        <v>118195</v>
      </c>
      <c r="G20" s="36">
        <v>56927</v>
      </c>
      <c r="H20" s="36">
        <v>61268</v>
      </c>
      <c r="I20" s="10">
        <f>IF(F20 &gt; 0,F20/$F$6 * 100,"-")</f>
        <v>224.34705033786349</v>
      </c>
      <c r="J20" s="10">
        <f>IF(F20&gt;0,F20/E20,"-")</f>
        <v>2.9384198488464599</v>
      </c>
      <c r="K20" s="10">
        <v>631.79999999999995</v>
      </c>
    </row>
    <row r="21" spans="2:11" ht="12.75" customHeight="1">
      <c r="B21" s="1"/>
      <c r="C21" s="1"/>
      <c r="D21" s="1"/>
      <c r="E21" s="46"/>
      <c r="F21" s="36"/>
      <c r="G21" s="36"/>
      <c r="H21" s="36"/>
      <c r="I21" s="10"/>
      <c r="J21" s="10"/>
      <c r="K21" s="10"/>
    </row>
    <row r="22" spans="2:11" ht="12.75" customHeight="1">
      <c r="B22" s="35" t="s">
        <v>40</v>
      </c>
      <c r="C22" s="35" t="s">
        <v>41</v>
      </c>
      <c r="D22" s="1"/>
      <c r="E22" s="46">
        <v>41746</v>
      </c>
      <c r="F22" s="36">
        <f>G22+H22</f>
        <v>118703</v>
      </c>
      <c r="G22" s="36">
        <v>56931</v>
      </c>
      <c r="H22" s="36">
        <v>61772</v>
      </c>
      <c r="I22" s="10">
        <f>IF(F22 &gt; 0,F22/$F$6 * 100,"-")</f>
        <v>225.31128995520459</v>
      </c>
      <c r="J22" s="10">
        <f>IF(F22&gt;0,F22/E22,"-")</f>
        <v>2.8434580558616394</v>
      </c>
      <c r="K22" s="10">
        <v>629.70000000000005</v>
      </c>
    </row>
    <row r="23" spans="2:11" ht="12.75" customHeight="1">
      <c r="B23" s="1"/>
      <c r="C23" s="1"/>
      <c r="D23" s="1"/>
      <c r="E23" s="46"/>
      <c r="F23" s="36"/>
      <c r="G23" s="36"/>
      <c r="H23" s="36"/>
      <c r="I23" s="10"/>
      <c r="J23" s="10"/>
      <c r="K23" s="10"/>
    </row>
    <row r="24" spans="2:11" ht="12.75" customHeight="1">
      <c r="B24" s="1"/>
      <c r="C24" s="1">
        <v>2</v>
      </c>
      <c r="D24" s="1"/>
      <c r="E24" s="46">
        <v>42165</v>
      </c>
      <c r="F24" s="36">
        <f>G24+H24</f>
        <v>118627</v>
      </c>
      <c r="G24" s="36">
        <v>56756</v>
      </c>
      <c r="H24" s="36">
        <v>61871</v>
      </c>
      <c r="I24" s="10">
        <f>IF(F24 &gt; 0,F24/$F$6 * 100,"-")</f>
        <v>225.16703363450006</v>
      </c>
      <c r="J24" s="10">
        <f>IF(F24&gt;0,F24/E24,"-")</f>
        <v>2.8133997391201233</v>
      </c>
      <c r="K24" s="10">
        <v>629.29999999999995</v>
      </c>
    </row>
    <row r="25" spans="2:11" ht="12.75" customHeight="1">
      <c r="B25" s="1"/>
      <c r="C25" s="1">
        <v>3</v>
      </c>
      <c r="D25" s="1"/>
      <c r="E25" s="46">
        <v>42977</v>
      </c>
      <c r="F25" s="36">
        <f>G25+H25</f>
        <v>119099</v>
      </c>
      <c r="G25" s="36">
        <v>57211</v>
      </c>
      <c r="H25" s="36">
        <v>61888</v>
      </c>
      <c r="I25" s="10">
        <f>IF(F25 &gt; 0,F25/$F$6 * 100,"-")</f>
        <v>226.06294131045476</v>
      </c>
      <c r="J25" s="10">
        <f>IF(F25&gt;0,F25/E25,"-")</f>
        <v>2.7712264699723108</v>
      </c>
      <c r="K25" s="10">
        <v>631.79999999999995</v>
      </c>
    </row>
    <row r="26" spans="2:11" ht="12.75" customHeight="1">
      <c r="B26" s="1"/>
      <c r="C26" s="1">
        <v>4</v>
      </c>
      <c r="D26" s="1"/>
      <c r="E26" s="46">
        <v>43726</v>
      </c>
      <c r="F26" s="36">
        <f>G26+H26</f>
        <v>119724</v>
      </c>
      <c r="G26" s="36">
        <v>57631</v>
      </c>
      <c r="H26" s="36">
        <v>62093</v>
      </c>
      <c r="I26" s="10">
        <f>IF(F26 &gt; 0,F26/$F$6 * 100,"-")</f>
        <v>227.24925973730166</v>
      </c>
      <c r="J26" s="10">
        <f>IF(F26&gt;0,F26/E26,"-")</f>
        <v>2.7380505877509949</v>
      </c>
      <c r="K26" s="10">
        <v>635</v>
      </c>
    </row>
    <row r="27" spans="2:11" ht="12.75" customHeight="1">
      <c r="B27" s="1"/>
      <c r="C27" s="1">
        <v>5</v>
      </c>
      <c r="D27" s="1"/>
      <c r="E27" s="46">
        <v>44206</v>
      </c>
      <c r="F27" s="36">
        <f>G27+H27</f>
        <v>119980</v>
      </c>
      <c r="G27" s="36">
        <v>57776</v>
      </c>
      <c r="H27" s="36">
        <v>62204</v>
      </c>
      <c r="I27" s="10">
        <f>IF(F27 &gt; 0,F27/$F$6 * 100,"-")</f>
        <v>227.73517576493813</v>
      </c>
      <c r="J27" s="10">
        <f>IF(F27&gt;0,F27/E27,"-")</f>
        <v>2.7141112066235351</v>
      </c>
      <c r="K27" s="10">
        <v>636.4</v>
      </c>
    </row>
    <row r="28" spans="2:11" ht="12.75" customHeight="1">
      <c r="B28" s="1"/>
      <c r="C28" s="1">
        <v>6</v>
      </c>
      <c r="D28" s="1"/>
      <c r="E28" s="46">
        <v>44497</v>
      </c>
      <c r="F28" s="36">
        <f>G28+H28</f>
        <v>120098</v>
      </c>
      <c r="G28" s="36">
        <v>57799</v>
      </c>
      <c r="H28" s="36">
        <v>62299</v>
      </c>
      <c r="I28" s="10">
        <f>IF(F28 &gt; 0,F28/$F$6 * 100,"-")</f>
        <v>227.95915268392682</v>
      </c>
      <c r="J28" s="10">
        <f>IF(F28&gt;0,F28/E28,"-")</f>
        <v>2.6990134166348292</v>
      </c>
      <c r="K28" s="10">
        <v>637</v>
      </c>
    </row>
    <row r="29" spans="2:11" ht="12.75" customHeight="1">
      <c r="B29" s="1"/>
      <c r="C29" s="1"/>
      <c r="D29" s="1"/>
      <c r="E29" s="46"/>
      <c r="F29" s="36"/>
      <c r="G29" s="36"/>
      <c r="H29" s="36"/>
      <c r="I29" s="10"/>
      <c r="J29" s="10"/>
      <c r="K29" s="10"/>
    </row>
    <row r="30" spans="2:11" ht="12.75" customHeight="1">
      <c r="B30" s="1"/>
      <c r="C30" s="1">
        <v>7</v>
      </c>
      <c r="D30" s="1"/>
      <c r="E30" s="46">
        <v>44994</v>
      </c>
      <c r="F30" s="36">
        <f>G30+H30</f>
        <v>120060</v>
      </c>
      <c r="G30" s="36">
        <v>57822</v>
      </c>
      <c r="H30" s="36">
        <v>62238</v>
      </c>
      <c r="I30" s="10">
        <f>IF(F30 &gt; 0,F30/$F$6 * 100,"-")</f>
        <v>227.8870245235745</v>
      </c>
      <c r="J30" s="10">
        <f>IF(F30&gt;0,F30/E30,"-")</f>
        <v>2.6683557807707694</v>
      </c>
      <c r="K30" s="10">
        <v>636.70000000000005</v>
      </c>
    </row>
    <row r="31" spans="2:11" ht="12.75" customHeight="1">
      <c r="B31" s="1"/>
      <c r="C31" s="1">
        <v>8</v>
      </c>
      <c r="D31" s="1"/>
      <c r="E31" s="46">
        <v>45383</v>
      </c>
      <c r="F31" s="36">
        <f>G31+H31</f>
        <v>120128</v>
      </c>
      <c r="G31" s="36">
        <v>57847</v>
      </c>
      <c r="H31" s="36">
        <v>62281</v>
      </c>
      <c r="I31" s="10">
        <f>IF(F31 &gt; 0,F31/$F$6 * 100,"-")</f>
        <v>228.01609596841547</v>
      </c>
      <c r="J31" s="10">
        <f>IF(F31&gt;0,F31/E31,"-")</f>
        <v>2.6469823502192451</v>
      </c>
      <c r="K31" s="10">
        <v>637</v>
      </c>
    </row>
    <row r="32" spans="2:11" ht="12.75" customHeight="1">
      <c r="B32" s="1"/>
      <c r="C32" s="1">
        <v>9</v>
      </c>
      <c r="D32" s="1"/>
      <c r="E32" s="46">
        <v>45814</v>
      </c>
      <c r="F32" s="36">
        <f>G32+H32</f>
        <v>120049</v>
      </c>
      <c r="G32" s="36">
        <v>57689</v>
      </c>
      <c r="H32" s="36">
        <v>62360</v>
      </c>
      <c r="I32" s="10">
        <f>IF(F32 &gt; 0,F32/$F$6 * 100,"-")</f>
        <v>227.86614531926205</v>
      </c>
      <c r="J32" s="10">
        <f>IF(F32&gt;0,F32/E32,"-")</f>
        <v>2.6203562229886059</v>
      </c>
      <c r="K32" s="10">
        <v>636.6</v>
      </c>
    </row>
    <row r="33" spans="2:11" ht="12.75" customHeight="1">
      <c r="B33" s="1"/>
      <c r="C33" s="1">
        <v>10</v>
      </c>
      <c r="D33" s="1"/>
      <c r="E33" s="46">
        <v>46191</v>
      </c>
      <c r="F33" s="36">
        <v>119908</v>
      </c>
      <c r="G33" s="36">
        <v>57709</v>
      </c>
      <c r="H33" s="36">
        <v>62199</v>
      </c>
      <c r="I33" s="10">
        <f>IF(F33 &gt; 0,F33/$F$6 * 100,"-")</f>
        <v>227.59851188216538</v>
      </c>
      <c r="J33" s="10">
        <f>IF(F33&gt;0,F33/E33,"-")</f>
        <v>2.595916953519084</v>
      </c>
      <c r="K33" s="10">
        <v>635.79999999999995</v>
      </c>
    </row>
    <row r="34" spans="2:11" ht="12.75" customHeight="1">
      <c r="B34" s="1"/>
      <c r="C34" s="1">
        <v>11</v>
      </c>
      <c r="D34" s="1"/>
      <c r="E34" s="46">
        <v>46756</v>
      </c>
      <c r="F34" s="36">
        <v>119696</v>
      </c>
      <c r="G34" s="36">
        <v>57517</v>
      </c>
      <c r="H34" s="36">
        <v>62179</v>
      </c>
      <c r="I34" s="10">
        <f>IF(F34 &gt; 0,F34/$F$6 * 100,"-")</f>
        <v>227.19611267177893</v>
      </c>
      <c r="J34" s="10">
        <f>IF(F34&gt;0,F34/E34,"-")</f>
        <v>2.560013688082813</v>
      </c>
      <c r="K34" s="10">
        <v>634.70000000000005</v>
      </c>
    </row>
    <row r="35" spans="2:11" ht="12.75" customHeight="1">
      <c r="B35" s="1"/>
      <c r="C35" s="1"/>
      <c r="D35" s="1"/>
      <c r="E35" s="46"/>
      <c r="F35" s="36"/>
      <c r="G35" s="36"/>
      <c r="H35" s="36"/>
      <c r="I35" s="10"/>
      <c r="J35" s="10"/>
      <c r="K35" s="10"/>
    </row>
    <row r="36" spans="2:11" ht="12.75" customHeight="1">
      <c r="B36" s="1"/>
      <c r="C36" s="1">
        <v>12</v>
      </c>
      <c r="D36" s="1"/>
      <c r="E36" s="46">
        <v>47361</v>
      </c>
      <c r="F36" s="36">
        <f>G36+H36</f>
        <v>119555</v>
      </c>
      <c r="G36" s="36">
        <v>57488</v>
      </c>
      <c r="H36" s="36">
        <v>62067</v>
      </c>
      <c r="I36" s="10">
        <f>IF(F36 &gt; 0,F36/$F$6 * 100,"-")</f>
        <v>226.92847923468227</v>
      </c>
      <c r="J36" s="10">
        <f>IF(F36&gt;0,F36/E36,"-")</f>
        <v>2.5243343679398662</v>
      </c>
      <c r="K36" s="10">
        <v>633.9</v>
      </c>
    </row>
    <row r="37" spans="2:11" s="11" customFormat="1" ht="12.75" customHeight="1">
      <c r="B37" s="104"/>
      <c r="C37" s="1">
        <v>13</v>
      </c>
      <c r="D37" s="1"/>
      <c r="E37" s="46">
        <v>48001</v>
      </c>
      <c r="F37" s="36">
        <f>G37+H37</f>
        <v>119784</v>
      </c>
      <c r="G37" s="36">
        <v>57702</v>
      </c>
      <c r="H37" s="36">
        <v>62082</v>
      </c>
      <c r="I37" s="10">
        <f>IF(F37 &gt; 0,F37/$F$6 * 100,"-")</f>
        <v>227.36314630627894</v>
      </c>
      <c r="J37" s="10">
        <f>IF(F37&gt;0,F37/E37,"-")</f>
        <v>2.4954480114997604</v>
      </c>
      <c r="K37" s="10">
        <v>635.20000000000005</v>
      </c>
    </row>
    <row r="38" spans="2:11" s="11" customFormat="1" ht="12.75" customHeight="1">
      <c r="B38" s="104"/>
      <c r="C38" s="1">
        <v>14</v>
      </c>
      <c r="D38" s="1"/>
      <c r="E38" s="46">
        <v>48313</v>
      </c>
      <c r="F38" s="36">
        <f>G38+H38</f>
        <v>119482</v>
      </c>
      <c r="G38" s="36">
        <v>57544</v>
      </c>
      <c r="H38" s="36">
        <v>61938</v>
      </c>
      <c r="I38" s="10">
        <f>IF(F38 &gt; 0,F38/$F$6 * 100,"-")</f>
        <v>226.78991724242655</v>
      </c>
      <c r="J38" s="10">
        <f>IF(F38&gt;0,F38/E38,"-")</f>
        <v>2.4730817792312627</v>
      </c>
      <c r="K38" s="10">
        <f>F38/188.59</f>
        <v>633.55427117026352</v>
      </c>
    </row>
    <row r="39" spans="2:11" s="11" customFormat="1" ht="12.75" customHeight="1">
      <c r="B39" s="104"/>
      <c r="C39" s="1">
        <v>15</v>
      </c>
      <c r="D39" s="1"/>
      <c r="E39" s="46">
        <v>49241</v>
      </c>
      <c r="F39" s="36">
        <f>G39+H39</f>
        <v>119530</v>
      </c>
      <c r="G39" s="36">
        <v>57817</v>
      </c>
      <c r="H39" s="36">
        <v>61713</v>
      </c>
      <c r="I39" s="10">
        <f>IF(F39 &gt; 0,F39/$F$6 * 100,"-")</f>
        <v>226.88102649760839</v>
      </c>
      <c r="J39" s="10">
        <f>IF(F39&gt;0,F39/E39,"-")</f>
        <v>2.4274486708230945</v>
      </c>
      <c r="K39" s="10">
        <f>F39/188.59</f>
        <v>633.80879155840717</v>
      </c>
    </row>
    <row r="40" spans="2:11" s="11" customFormat="1" ht="12.75" customHeight="1">
      <c r="B40" s="104"/>
      <c r="C40" s="1">
        <v>16</v>
      </c>
      <c r="D40" s="1"/>
      <c r="E40" s="46">
        <v>49745</v>
      </c>
      <c r="F40" s="36">
        <f>G40+H40</f>
        <v>119441</v>
      </c>
      <c r="G40" s="36">
        <v>57864</v>
      </c>
      <c r="H40" s="36">
        <v>61577</v>
      </c>
      <c r="I40" s="10">
        <f>IF(F40 &gt; 0,F40/$F$6 * 100,"-")</f>
        <v>226.71209475362537</v>
      </c>
      <c r="J40" s="10">
        <f>IF(F40&gt;0,F40/E40,"-")</f>
        <v>2.4010654337119308</v>
      </c>
      <c r="K40" s="10">
        <f>F40/188.59</f>
        <v>633.33686833872423</v>
      </c>
    </row>
    <row r="41" spans="2:11" s="11" customFormat="1" ht="12.75" customHeight="1">
      <c r="B41" s="104"/>
      <c r="C41" s="1"/>
      <c r="D41" s="1"/>
      <c r="E41" s="46"/>
      <c r="F41" s="36"/>
      <c r="G41" s="36"/>
      <c r="H41" s="36"/>
      <c r="I41" s="10"/>
      <c r="J41" s="10"/>
      <c r="K41" s="10"/>
    </row>
    <row r="42" spans="2:11" ht="12.75" customHeight="1">
      <c r="B42" s="1"/>
      <c r="C42" s="1">
        <v>17</v>
      </c>
      <c r="D42" s="1"/>
      <c r="E42" s="46">
        <v>50359</v>
      </c>
      <c r="F42" s="36">
        <f>G42+H42</f>
        <v>119214</v>
      </c>
      <c r="G42" s="36">
        <v>57811</v>
      </c>
      <c r="H42" s="36">
        <v>61403</v>
      </c>
      <c r="I42" s="10">
        <f>IF(F42 &gt; 0,F42/$F$6 * 100,"-")</f>
        <v>226.28122390099458</v>
      </c>
      <c r="J42" s="10">
        <f>IF(F42&gt;0,F42/E42,"-")</f>
        <v>2.3672829087154232</v>
      </c>
      <c r="K42" s="10">
        <f>F42/188.59</f>
        <v>632.13319900312842</v>
      </c>
    </row>
    <row r="43" spans="2:11" s="11" customFormat="1" ht="12.75" customHeight="1">
      <c r="B43" s="104"/>
      <c r="C43" s="1">
        <v>18</v>
      </c>
      <c r="D43" s="1"/>
      <c r="E43" s="46">
        <v>50988</v>
      </c>
      <c r="F43" s="36">
        <f>G43+H43</f>
        <v>118900</v>
      </c>
      <c r="G43" s="36">
        <v>57686</v>
      </c>
      <c r="H43" s="36">
        <v>61214</v>
      </c>
      <c r="I43" s="10">
        <f>IF(F43 &gt; 0,F43/$F$6 * 100,"-")</f>
        <v>225.68521752334675</v>
      </c>
      <c r="J43" s="10">
        <f>IF(F43&gt;0,F43/E43,"-")</f>
        <v>2.3319212363693418</v>
      </c>
      <c r="K43" s="10">
        <f>F43/188.59</f>
        <v>630.46821146402249</v>
      </c>
    </row>
    <row r="44" spans="2:11" s="11" customFormat="1" ht="12.75" customHeight="1">
      <c r="B44" s="104"/>
      <c r="C44" s="1">
        <v>19</v>
      </c>
      <c r="D44" s="1"/>
      <c r="E44" s="46">
        <v>51446</v>
      </c>
      <c r="F44" s="36">
        <f>G44+H44</f>
        <v>118793</v>
      </c>
      <c r="G44" s="36">
        <v>57702</v>
      </c>
      <c r="H44" s="36">
        <v>61091</v>
      </c>
      <c r="I44" s="10">
        <f>IF(F44 &gt; 0,F44/$F$6 * 100,"-")</f>
        <v>225.48211980867055</v>
      </c>
      <c r="J44" s="10">
        <f>IF(F44&gt;0,F44/E44,"-")</f>
        <v>2.3090813668701164</v>
      </c>
      <c r="K44" s="10">
        <f>F44/188.59</f>
        <v>629.90084309878569</v>
      </c>
    </row>
    <row r="45" spans="2:11" s="11" customFormat="1" ht="12.75" customHeight="1">
      <c r="B45" s="104"/>
      <c r="C45" s="1">
        <v>20</v>
      </c>
      <c r="D45" s="1"/>
      <c r="E45" s="46">
        <v>52033</v>
      </c>
      <c r="F45" s="36">
        <f>G45+H45</f>
        <v>118805</v>
      </c>
      <c r="G45" s="36">
        <v>57721</v>
      </c>
      <c r="H45" s="36">
        <v>61084</v>
      </c>
      <c r="I45" s="10">
        <f>IF(F45 &gt; 0,F45/$F$6 * 100,"-")</f>
        <v>225.50489712246602</v>
      </c>
      <c r="J45" s="10">
        <f>IF(F45&gt;0,F45/E45,"-")</f>
        <v>2.2832625449234141</v>
      </c>
      <c r="K45" s="10">
        <f>F45/188.59</f>
        <v>629.9644731958216</v>
      </c>
    </row>
    <row r="46" spans="2:11" ht="12.75" customHeight="1">
      <c r="B46" s="1"/>
      <c r="C46" s="1">
        <v>21</v>
      </c>
      <c r="D46" s="1"/>
      <c r="E46" s="46">
        <v>52319</v>
      </c>
      <c r="F46" s="36">
        <f>G46+H46</f>
        <v>118396</v>
      </c>
      <c r="G46" s="36">
        <v>57427</v>
      </c>
      <c r="H46" s="36">
        <v>60969</v>
      </c>
      <c r="I46" s="10">
        <f>IF(F46 &gt; 0,F46/$F$6 * 100,"-")</f>
        <v>224.72857034393746</v>
      </c>
      <c r="J46" s="10">
        <f>IF(F46&gt;0,F46/E46,"-")</f>
        <v>2.262963741661729</v>
      </c>
      <c r="K46" s="10">
        <f>F46/188.59</f>
        <v>627.79574738851477</v>
      </c>
    </row>
    <row r="47" spans="2:11" ht="12.75" customHeight="1">
      <c r="B47" s="1"/>
      <c r="C47" s="1"/>
      <c r="D47" s="7"/>
      <c r="E47" s="46"/>
      <c r="F47" s="36"/>
      <c r="G47" s="36"/>
      <c r="H47" s="36"/>
      <c r="I47" s="10"/>
      <c r="J47" s="10"/>
      <c r="K47" s="10"/>
    </row>
    <row r="48" spans="2:11" ht="12.75" customHeight="1">
      <c r="B48" s="1"/>
      <c r="C48" s="1">
        <v>22</v>
      </c>
      <c r="D48" s="7"/>
      <c r="E48" s="36">
        <v>52525</v>
      </c>
      <c r="F48" s="36">
        <v>117931</v>
      </c>
      <c r="G48" s="36">
        <v>57095</v>
      </c>
      <c r="H48" s="36">
        <v>60836</v>
      </c>
      <c r="I48" s="10">
        <v>223.84594943436338</v>
      </c>
      <c r="J48" s="10">
        <v>2.2452356020942408</v>
      </c>
      <c r="K48" s="10">
        <v>625.33008112837376</v>
      </c>
    </row>
    <row r="49" spans="2:11" ht="12.75" customHeight="1">
      <c r="B49" s="1"/>
      <c r="C49" s="1">
        <v>23</v>
      </c>
      <c r="D49" s="7"/>
      <c r="E49" s="36">
        <v>52931</v>
      </c>
      <c r="F49" s="36">
        <f>G49+H49</f>
        <v>117747</v>
      </c>
      <c r="G49" s="36">
        <v>56958</v>
      </c>
      <c r="H49" s="36">
        <v>60789</v>
      </c>
      <c r="I49" s="10">
        <f>IF(F49 &gt; 0,F49/$F$6 * 100,"-")</f>
        <v>223.49669728949965</v>
      </c>
      <c r="J49" s="10">
        <f>IF(F49&gt;0,F49/E49,"-")</f>
        <v>2.2245376055619581</v>
      </c>
      <c r="K49" s="10">
        <f>F49/188.59</f>
        <v>624.35441964048994</v>
      </c>
    </row>
    <row r="50" spans="2:11" ht="12.75" customHeight="1">
      <c r="B50" s="1"/>
      <c r="C50" s="1">
        <v>24</v>
      </c>
      <c r="D50" s="7"/>
      <c r="E50" s="36">
        <v>53730</v>
      </c>
      <c r="F50" s="36">
        <v>118258</v>
      </c>
      <c r="G50" s="36">
        <v>57037</v>
      </c>
      <c r="H50" s="36">
        <v>61221</v>
      </c>
      <c r="I50" s="10">
        <v>224.46663123528964</v>
      </c>
      <c r="J50" s="10">
        <v>2.2009678019728272</v>
      </c>
      <c r="K50" s="10">
        <v>627.0640012726019</v>
      </c>
    </row>
    <row r="51" spans="2:11" ht="12.75" customHeight="1">
      <c r="B51" s="1"/>
      <c r="C51" s="1">
        <v>25</v>
      </c>
      <c r="D51" s="7"/>
      <c r="E51" s="36">
        <v>54076</v>
      </c>
      <c r="F51" s="36">
        <f>G51+H51</f>
        <v>118075</v>
      </c>
      <c r="G51" s="36">
        <v>57057</v>
      </c>
      <c r="H51" s="36">
        <v>61018</v>
      </c>
      <c r="I51" s="10">
        <f>IF(F51 &gt; 0,F51/$F$6 * 100,"-")</f>
        <v>224.11927719990891</v>
      </c>
      <c r="J51" s="10">
        <f>IF(F51&gt;0,F51/E51,"-")</f>
        <v>2.1835009985945706</v>
      </c>
      <c r="K51" s="10">
        <f>F51/188.59</f>
        <v>626.09364229280447</v>
      </c>
    </row>
    <row r="52" spans="2:11" ht="12.75" customHeight="1">
      <c r="B52" s="1"/>
      <c r="C52" s="1">
        <v>26</v>
      </c>
      <c r="D52" s="7"/>
      <c r="E52" s="36">
        <v>54934</v>
      </c>
      <c r="F52" s="36">
        <v>118391</v>
      </c>
      <c r="G52" s="36">
        <v>57369</v>
      </c>
      <c r="H52" s="36">
        <v>61022</v>
      </c>
      <c r="I52" s="10">
        <v>224.7</v>
      </c>
      <c r="J52" s="10">
        <v>2.2000000000000002</v>
      </c>
      <c r="K52" s="10">
        <v>627.79999999999995</v>
      </c>
    </row>
    <row r="53" spans="2:11" ht="12.75" customHeight="1">
      <c r="B53" s="1"/>
      <c r="C53" s="1"/>
      <c r="D53" s="7"/>
      <c r="E53" s="36"/>
      <c r="F53" s="36"/>
      <c r="G53" s="36"/>
      <c r="H53" s="36"/>
      <c r="I53" s="10"/>
      <c r="J53" s="10"/>
      <c r="K53" s="10"/>
    </row>
    <row r="54" spans="2:11" s="11" customFormat="1" ht="12.75" customHeight="1">
      <c r="B54" s="104"/>
      <c r="C54" s="1">
        <v>27</v>
      </c>
      <c r="D54" s="7"/>
      <c r="E54" s="36">
        <v>55020</v>
      </c>
      <c r="F54" s="36">
        <f>G54+H54</f>
        <v>117893</v>
      </c>
      <c r="G54" s="36">
        <v>56993</v>
      </c>
      <c r="H54" s="36">
        <v>60900</v>
      </c>
      <c r="I54" s="10">
        <f>IF(F54 &gt; 0,F54/$F$6 * 100,"-")</f>
        <v>223.77382127401106</v>
      </c>
      <c r="J54" s="10">
        <f>IF(F54&gt;0,F54/E54,"-")</f>
        <v>2.1427299163940385</v>
      </c>
      <c r="K54" s="10">
        <f>F54/188.59</f>
        <v>625.12858582109334</v>
      </c>
    </row>
    <row r="55" spans="2:11" ht="12.75" customHeight="1">
      <c r="B55" s="104"/>
      <c r="C55" s="1">
        <v>28</v>
      </c>
      <c r="D55" s="7"/>
      <c r="E55" s="36">
        <v>55270</v>
      </c>
      <c r="F55" s="36">
        <f>G55+H55</f>
        <v>117387</v>
      </c>
      <c r="G55" s="36">
        <v>56767</v>
      </c>
      <c r="H55" s="36">
        <v>60620</v>
      </c>
      <c r="I55" s="10">
        <f>IF(F55 &gt; 0,F55/$F$6 * 100,"-")</f>
        <v>222.81337787563587</v>
      </c>
      <c r="J55" s="10">
        <f>IF(F55&gt;0,F55/E55,"-")</f>
        <v>2.1238827573728969</v>
      </c>
      <c r="K55" s="10">
        <f>F55/189.37</f>
        <v>619.88171304852926</v>
      </c>
    </row>
    <row r="56" spans="2:11" ht="12.75" customHeight="1">
      <c r="B56" s="104"/>
      <c r="C56" s="1">
        <v>29</v>
      </c>
      <c r="D56" s="7"/>
      <c r="E56" s="36">
        <v>55468</v>
      </c>
      <c r="F56" s="36">
        <f>G56+H56</f>
        <v>116848</v>
      </c>
      <c r="G56" s="36">
        <v>56500</v>
      </c>
      <c r="H56" s="36">
        <v>60348</v>
      </c>
      <c r="I56" s="10">
        <f>IF(F56 &gt; 0,F56/$F$6 * 100,"-")</f>
        <v>221.79029686432315</v>
      </c>
      <c r="J56" s="10">
        <f>IF(F56&gt;0,F56/E56,"-")</f>
        <v>2.1065839763467222</v>
      </c>
      <c r="K56" s="10">
        <f>F56/189.37</f>
        <v>617.03543327876639</v>
      </c>
    </row>
    <row r="57" spans="2:11" ht="12.75" customHeight="1">
      <c r="B57" s="104"/>
      <c r="C57" s="1">
        <v>30</v>
      </c>
      <c r="D57" s="7"/>
      <c r="E57" s="36">
        <v>55875</v>
      </c>
      <c r="F57" s="36">
        <f>G57+H57</f>
        <v>116571</v>
      </c>
      <c r="G57" s="36">
        <v>56365</v>
      </c>
      <c r="H57" s="36">
        <v>60206</v>
      </c>
      <c r="I57" s="10">
        <f>IF(F57 &gt; 0,F57/$F$6 * 100,"-")</f>
        <v>221.26452053754463</v>
      </c>
      <c r="J57" s="10">
        <f>IF(F57&gt;0,F57/E57,"-")</f>
        <v>2.0862818791946309</v>
      </c>
      <c r="K57" s="10">
        <f>F57/189.37</f>
        <v>615.57268838781215</v>
      </c>
    </row>
    <row r="58" spans="2:11" s="11" customFormat="1" ht="12.75" customHeight="1">
      <c r="B58" s="104"/>
      <c r="C58" s="2"/>
      <c r="D58" s="7"/>
      <c r="E58" s="2"/>
      <c r="F58" s="2"/>
      <c r="G58" s="2"/>
      <c r="H58" s="2"/>
      <c r="I58" s="10"/>
      <c r="J58" s="10"/>
      <c r="K58" s="10"/>
    </row>
    <row r="59" spans="2:11" s="11" customFormat="1" ht="12.75" customHeight="1">
      <c r="B59" s="35" t="s">
        <v>571</v>
      </c>
      <c r="C59" s="35" t="s">
        <v>573</v>
      </c>
      <c r="D59" s="7"/>
      <c r="E59" s="36">
        <v>56265</v>
      </c>
      <c r="F59" s="36">
        <v>116203</v>
      </c>
      <c r="G59" s="36">
        <v>56319</v>
      </c>
      <c r="H59" s="36">
        <v>59884</v>
      </c>
      <c r="I59" s="10">
        <f>IF(F59 &gt; 0,F59/$F$6 * 100,"-")</f>
        <v>220.56601624781717</v>
      </c>
      <c r="J59" s="10">
        <f>IF(F59&gt;0,F59/E59,"-")</f>
        <v>2.0652803696791966</v>
      </c>
      <c r="K59" s="10">
        <f>F59/189.37</f>
        <v>613.6294027565084</v>
      </c>
    </row>
    <row r="60" spans="2:11" ht="12.75" customHeight="1">
      <c r="B60" s="35"/>
      <c r="C60" s="161">
        <v>2</v>
      </c>
      <c r="D60" s="7"/>
      <c r="E60" s="162">
        <v>56409</v>
      </c>
      <c r="F60" s="162">
        <v>115603</v>
      </c>
      <c r="G60" s="162">
        <v>55980</v>
      </c>
      <c r="H60" s="162">
        <v>59623</v>
      </c>
      <c r="I60" s="67">
        <f>IF(F60 &gt; 0,F60/$F$6 * 100,"-")</f>
        <v>219.42715055804422</v>
      </c>
      <c r="J60" s="67">
        <f>IF(F60&gt;0,F60/E60,"-")</f>
        <v>2.0493715541846158</v>
      </c>
      <c r="K60" s="67">
        <f>F60/189.37</f>
        <v>610.461002270687</v>
      </c>
    </row>
    <row r="61" spans="2:11" ht="6.75" customHeight="1" thickBot="1">
      <c r="D61" s="163"/>
      <c r="E61" s="99"/>
      <c r="F61" s="99"/>
      <c r="G61" s="99"/>
      <c r="H61" s="99"/>
      <c r="I61" s="99"/>
      <c r="J61" s="67"/>
      <c r="K61" s="99"/>
    </row>
    <row r="62" spans="2:11" ht="13.5" customHeight="1">
      <c r="B62" s="15" t="s">
        <v>10</v>
      </c>
      <c r="C62" s="15"/>
      <c r="D62" s="15"/>
      <c r="E62" s="15"/>
      <c r="F62" s="15"/>
      <c r="G62" s="15"/>
      <c r="H62" s="15"/>
      <c r="I62" s="15"/>
      <c r="J62" s="15"/>
      <c r="K62" s="15"/>
    </row>
  </sheetData>
  <mergeCells count="6">
    <mergeCell ref="J3:K3"/>
    <mergeCell ref="F2:I2"/>
    <mergeCell ref="B4:D5"/>
    <mergeCell ref="E4:E5"/>
    <mergeCell ref="F4:I4"/>
    <mergeCell ref="J4:J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92D050"/>
  </sheetPr>
  <dimension ref="B2:N48"/>
  <sheetViews>
    <sheetView showGridLines="0" view="pageBreakPreview" zoomScaleNormal="100" workbookViewId="0"/>
  </sheetViews>
  <sheetFormatPr defaultRowHeight="13.5" customHeight="1"/>
  <cols>
    <col min="1" max="1" width="5" style="2" customWidth="1"/>
    <col min="2" max="2" width="0.375" style="2" customWidth="1"/>
    <col min="3" max="3" width="1.75" style="2" customWidth="1"/>
    <col min="4" max="4" width="7.5" style="2" customWidth="1"/>
    <col min="5" max="5" width="0.5" style="2" customWidth="1"/>
    <col min="6" max="6" width="8.875" style="2" customWidth="1"/>
    <col min="7" max="7" width="9.625" style="2" customWidth="1"/>
    <col min="8" max="10" width="8.875" style="2" customWidth="1"/>
    <col min="11" max="11" width="9.625" style="2" customWidth="1"/>
    <col min="12" max="13" width="8.875" style="2" customWidth="1"/>
    <col min="14" max="17" width="9" style="2"/>
    <col min="18" max="18" width="3.5" style="2" customWidth="1"/>
    <col min="19" max="16384" width="9" style="2"/>
  </cols>
  <sheetData>
    <row r="2" spans="2:14" s="11" customFormat="1" ht="18" customHeight="1">
      <c r="G2" s="255" t="s">
        <v>557</v>
      </c>
      <c r="H2" s="246"/>
      <c r="I2" s="246"/>
      <c r="J2" s="246"/>
      <c r="K2" s="246"/>
    </row>
    <row r="3" spans="2:14" ht="18" customHeight="1" thickBot="1">
      <c r="L3" s="256" t="s">
        <v>27</v>
      </c>
      <c r="M3" s="256"/>
    </row>
    <row r="4" spans="2:14" ht="18" customHeight="1">
      <c r="B4" s="158"/>
      <c r="C4" s="247" t="s">
        <v>42</v>
      </c>
      <c r="D4" s="247"/>
      <c r="E4" s="158"/>
      <c r="F4" s="251" t="s">
        <v>576</v>
      </c>
      <c r="G4" s="252"/>
      <c r="H4" s="252"/>
      <c r="I4" s="252"/>
      <c r="J4" s="251" t="s">
        <v>579</v>
      </c>
      <c r="K4" s="252"/>
      <c r="L4" s="252"/>
      <c r="M4" s="252"/>
    </row>
    <row r="5" spans="2:14" ht="18" customHeight="1">
      <c r="B5" s="12"/>
      <c r="C5" s="248"/>
      <c r="D5" s="248"/>
      <c r="E5" s="12"/>
      <c r="F5" s="164" t="s">
        <v>29</v>
      </c>
      <c r="G5" s="37" t="s">
        <v>30</v>
      </c>
      <c r="H5" s="37" t="s">
        <v>34</v>
      </c>
      <c r="I5" s="37" t="s">
        <v>35</v>
      </c>
      <c r="J5" s="164" t="s">
        <v>29</v>
      </c>
      <c r="K5" s="37" t="s">
        <v>30</v>
      </c>
      <c r="L5" s="37" t="s">
        <v>34</v>
      </c>
      <c r="M5" s="37" t="s">
        <v>35</v>
      </c>
      <c r="N5" s="1"/>
    </row>
    <row r="6" spans="2:14" s="168" customFormat="1" ht="18" customHeight="1">
      <c r="B6" s="165"/>
      <c r="C6" s="260" t="s">
        <v>43</v>
      </c>
      <c r="D6" s="261"/>
      <c r="E6" s="165"/>
      <c r="F6" s="166">
        <v>55468</v>
      </c>
      <c r="G6" s="167">
        <v>116848</v>
      </c>
      <c r="H6" s="167">
        <v>56500</v>
      </c>
      <c r="I6" s="167">
        <v>60348</v>
      </c>
      <c r="J6" s="166">
        <v>55875</v>
      </c>
      <c r="K6" s="167">
        <v>116571</v>
      </c>
      <c r="L6" s="167">
        <v>56365</v>
      </c>
      <c r="M6" s="167">
        <v>60206</v>
      </c>
    </row>
    <row r="7" spans="2:14" ht="6.95" customHeight="1">
      <c r="B7" s="1"/>
      <c r="C7" s="1"/>
      <c r="D7" s="1"/>
      <c r="E7" s="1"/>
      <c r="F7" s="46"/>
      <c r="G7" s="36"/>
      <c r="H7" s="36"/>
      <c r="I7" s="36"/>
      <c r="J7" s="46"/>
      <c r="K7" s="36"/>
      <c r="L7" s="36"/>
      <c r="M7" s="36"/>
    </row>
    <row r="8" spans="2:14" ht="16.5" customHeight="1">
      <c r="B8" s="3"/>
      <c r="C8" s="1"/>
      <c r="D8" s="3" t="s">
        <v>44</v>
      </c>
      <c r="E8" s="3"/>
      <c r="F8" s="46">
        <v>7621</v>
      </c>
      <c r="G8" s="36">
        <v>16333</v>
      </c>
      <c r="H8" s="36">
        <v>7830</v>
      </c>
      <c r="I8" s="36">
        <v>8503</v>
      </c>
      <c r="J8" s="46">
        <v>7571</v>
      </c>
      <c r="K8" s="36">
        <v>16107</v>
      </c>
      <c r="L8" s="36">
        <v>7685</v>
      </c>
      <c r="M8" s="36">
        <v>8422</v>
      </c>
    </row>
    <row r="9" spans="2:14" ht="16.5" customHeight="1">
      <c r="B9" s="3"/>
      <c r="C9" s="1"/>
      <c r="D9" s="3" t="s">
        <v>11</v>
      </c>
      <c r="E9" s="3"/>
      <c r="F9" s="46">
        <v>5345</v>
      </c>
      <c r="G9" s="36">
        <v>10906</v>
      </c>
      <c r="H9" s="36">
        <v>5145</v>
      </c>
      <c r="I9" s="36">
        <v>5761</v>
      </c>
      <c r="J9" s="46">
        <v>5463</v>
      </c>
      <c r="K9" s="36">
        <v>11111</v>
      </c>
      <c r="L9" s="36">
        <v>5243</v>
      </c>
      <c r="M9" s="36">
        <v>5868</v>
      </c>
    </row>
    <row r="10" spans="2:14" ht="16.5" customHeight="1">
      <c r="B10" s="3"/>
      <c r="C10" s="1"/>
      <c r="D10" s="3" t="s">
        <v>12</v>
      </c>
      <c r="E10" s="3"/>
      <c r="F10" s="46">
        <v>4560</v>
      </c>
      <c r="G10" s="36">
        <v>9192</v>
      </c>
      <c r="H10" s="36">
        <v>4449</v>
      </c>
      <c r="I10" s="36">
        <v>4743</v>
      </c>
      <c r="J10" s="46">
        <v>4604</v>
      </c>
      <c r="K10" s="36">
        <v>9159</v>
      </c>
      <c r="L10" s="36">
        <v>4454</v>
      </c>
      <c r="M10" s="36">
        <v>4705</v>
      </c>
    </row>
    <row r="11" spans="2:14" ht="16.5" customHeight="1">
      <c r="B11" s="3"/>
      <c r="C11" s="1"/>
      <c r="D11" s="3" t="s">
        <v>13</v>
      </c>
      <c r="E11" s="3"/>
      <c r="F11" s="46">
        <v>2643</v>
      </c>
      <c r="G11" s="36">
        <v>5239</v>
      </c>
      <c r="H11" s="36">
        <v>2473</v>
      </c>
      <c r="I11" s="36">
        <v>2766</v>
      </c>
      <c r="J11" s="46">
        <v>2654</v>
      </c>
      <c r="K11" s="36">
        <v>5296</v>
      </c>
      <c r="L11" s="36">
        <v>2495</v>
      </c>
      <c r="M11" s="36">
        <v>2801</v>
      </c>
    </row>
    <row r="12" spans="2:14" ht="16.5" customHeight="1">
      <c r="B12" s="3"/>
      <c r="C12" s="1"/>
      <c r="D12" s="3" t="s">
        <v>14</v>
      </c>
      <c r="E12" s="3"/>
      <c r="F12" s="46">
        <v>4453</v>
      </c>
      <c r="G12" s="36">
        <v>9305</v>
      </c>
      <c r="H12" s="36">
        <v>4423</v>
      </c>
      <c r="I12" s="36">
        <v>4882</v>
      </c>
      <c r="J12" s="46">
        <v>4422</v>
      </c>
      <c r="K12" s="36">
        <v>9251</v>
      </c>
      <c r="L12" s="36">
        <v>4397</v>
      </c>
      <c r="M12" s="36">
        <v>4854</v>
      </c>
    </row>
    <row r="13" spans="2:14" ht="16.5" customHeight="1">
      <c r="B13" s="3"/>
      <c r="C13" s="1"/>
      <c r="D13" s="3" t="s">
        <v>15</v>
      </c>
      <c r="E13" s="3"/>
      <c r="F13" s="46">
        <v>4241</v>
      </c>
      <c r="G13" s="36">
        <v>9068</v>
      </c>
      <c r="H13" s="36">
        <v>4402</v>
      </c>
      <c r="I13" s="36">
        <v>4666</v>
      </c>
      <c r="J13" s="46">
        <v>4295</v>
      </c>
      <c r="K13" s="36">
        <v>9073</v>
      </c>
      <c r="L13" s="36">
        <v>4441</v>
      </c>
      <c r="M13" s="36">
        <v>4632</v>
      </c>
    </row>
    <row r="14" spans="2:14" ht="16.5" customHeight="1">
      <c r="B14" s="3"/>
      <c r="C14" s="1"/>
      <c r="D14" s="3" t="s">
        <v>16</v>
      </c>
      <c r="E14" s="3"/>
      <c r="F14" s="46">
        <v>76</v>
      </c>
      <c r="G14" s="36">
        <v>101</v>
      </c>
      <c r="H14" s="36">
        <v>46</v>
      </c>
      <c r="I14" s="36">
        <v>55</v>
      </c>
      <c r="J14" s="46">
        <v>72</v>
      </c>
      <c r="K14" s="36">
        <v>97</v>
      </c>
      <c r="L14" s="36">
        <v>42</v>
      </c>
      <c r="M14" s="36">
        <v>55</v>
      </c>
    </row>
    <row r="15" spans="2:14" ht="16.5" customHeight="1">
      <c r="B15" s="3"/>
      <c r="C15" s="1"/>
      <c r="D15" s="3" t="s">
        <v>17</v>
      </c>
      <c r="E15" s="3"/>
      <c r="F15" s="46">
        <v>712</v>
      </c>
      <c r="G15" s="36">
        <v>1298</v>
      </c>
      <c r="H15" s="36">
        <v>617</v>
      </c>
      <c r="I15" s="36">
        <v>681</v>
      </c>
      <c r="J15" s="46">
        <v>692</v>
      </c>
      <c r="K15" s="36">
        <v>1249</v>
      </c>
      <c r="L15" s="36">
        <v>598</v>
      </c>
      <c r="M15" s="36">
        <v>651</v>
      </c>
    </row>
    <row r="16" spans="2:14" ht="16.5" customHeight="1">
      <c r="B16" s="3"/>
      <c r="C16" s="1"/>
      <c r="D16" s="3" t="s">
        <v>18</v>
      </c>
      <c r="E16" s="3"/>
      <c r="F16" s="46">
        <v>6035</v>
      </c>
      <c r="G16" s="36">
        <v>12504</v>
      </c>
      <c r="H16" s="36">
        <v>6384</v>
      </c>
      <c r="I16" s="36">
        <v>6120</v>
      </c>
      <c r="J16" s="46">
        <v>6159</v>
      </c>
      <c r="K16" s="36">
        <v>12566</v>
      </c>
      <c r="L16" s="36">
        <v>6399</v>
      </c>
      <c r="M16" s="36">
        <v>6167</v>
      </c>
    </row>
    <row r="17" spans="2:14" ht="16.5" customHeight="1">
      <c r="B17" s="3"/>
      <c r="C17" s="1"/>
      <c r="D17" s="3" t="s">
        <v>19</v>
      </c>
      <c r="E17" s="3"/>
      <c r="F17" s="46">
        <v>6778</v>
      </c>
      <c r="G17" s="36">
        <v>14961</v>
      </c>
      <c r="H17" s="36">
        <v>7383</v>
      </c>
      <c r="I17" s="36">
        <v>7578</v>
      </c>
      <c r="J17" s="46">
        <v>6893</v>
      </c>
      <c r="K17" s="36">
        <v>15019</v>
      </c>
      <c r="L17" s="36">
        <v>7431</v>
      </c>
      <c r="M17" s="36">
        <v>7588</v>
      </c>
    </row>
    <row r="18" spans="2:14" ht="16.5" customHeight="1">
      <c r="B18" s="3"/>
      <c r="C18" s="1"/>
      <c r="D18" s="3" t="s">
        <v>20</v>
      </c>
      <c r="E18" s="3"/>
      <c r="F18" s="46">
        <v>1819</v>
      </c>
      <c r="G18" s="36">
        <v>3615</v>
      </c>
      <c r="H18" s="36">
        <v>1826</v>
      </c>
      <c r="I18" s="36">
        <v>1789</v>
      </c>
      <c r="J18" s="46">
        <v>1833</v>
      </c>
      <c r="K18" s="36">
        <v>3573</v>
      </c>
      <c r="L18" s="36">
        <v>1816</v>
      </c>
      <c r="M18" s="36">
        <v>1757</v>
      </c>
    </row>
    <row r="19" spans="2:14" ht="16.5" customHeight="1">
      <c r="B19" s="3"/>
      <c r="C19" s="1"/>
      <c r="D19" s="3" t="s">
        <v>21</v>
      </c>
      <c r="E19" s="3"/>
      <c r="F19" s="46">
        <v>3649</v>
      </c>
      <c r="G19" s="36">
        <v>8268</v>
      </c>
      <c r="H19" s="36">
        <v>3888</v>
      </c>
      <c r="I19" s="36">
        <v>4380</v>
      </c>
      <c r="J19" s="46">
        <v>3711</v>
      </c>
      <c r="K19" s="36">
        <v>8335</v>
      </c>
      <c r="L19" s="36">
        <v>3908</v>
      </c>
      <c r="M19" s="36">
        <v>4427</v>
      </c>
    </row>
    <row r="20" spans="2:14" ht="16.5" customHeight="1">
      <c r="B20" s="3"/>
      <c r="C20" s="1"/>
      <c r="D20" s="3" t="s">
        <v>549</v>
      </c>
      <c r="E20" s="3"/>
      <c r="F20" s="46">
        <v>2454</v>
      </c>
      <c r="G20" s="36">
        <v>5617</v>
      </c>
      <c r="H20" s="36">
        <v>2716</v>
      </c>
      <c r="I20" s="36">
        <v>2901</v>
      </c>
      <c r="J20" s="46">
        <v>2453</v>
      </c>
      <c r="K20" s="36">
        <v>5537</v>
      </c>
      <c r="L20" s="36">
        <v>2667</v>
      </c>
      <c r="M20" s="36">
        <v>2870</v>
      </c>
    </row>
    <row r="21" spans="2:14" ht="16.5" customHeight="1">
      <c r="B21" s="3"/>
      <c r="C21" s="1"/>
      <c r="D21" s="3" t="s">
        <v>22</v>
      </c>
      <c r="E21" s="3"/>
      <c r="F21" s="46">
        <v>1037</v>
      </c>
      <c r="G21" s="36">
        <v>2014</v>
      </c>
      <c r="H21" s="36">
        <v>931</v>
      </c>
      <c r="I21" s="36">
        <v>1083</v>
      </c>
      <c r="J21" s="46">
        <v>1021</v>
      </c>
      <c r="K21" s="36">
        <v>1972</v>
      </c>
      <c r="L21" s="36">
        <v>906</v>
      </c>
      <c r="M21" s="36">
        <v>1066</v>
      </c>
    </row>
    <row r="22" spans="2:14" ht="16.5" customHeight="1">
      <c r="B22" s="3"/>
      <c r="C22" s="1"/>
      <c r="D22" s="3" t="s">
        <v>23</v>
      </c>
      <c r="E22" s="3"/>
      <c r="F22" s="46">
        <v>1570</v>
      </c>
      <c r="G22" s="36">
        <v>3372</v>
      </c>
      <c r="H22" s="36">
        <v>1628</v>
      </c>
      <c r="I22" s="36">
        <v>1744</v>
      </c>
      <c r="J22" s="46">
        <v>1556</v>
      </c>
      <c r="K22" s="36">
        <v>3274</v>
      </c>
      <c r="L22" s="36">
        <v>1580</v>
      </c>
      <c r="M22" s="36">
        <v>1694</v>
      </c>
    </row>
    <row r="23" spans="2:14" ht="16.5" customHeight="1" thickBot="1">
      <c r="B23" s="169"/>
      <c r="C23" s="6"/>
      <c r="D23" s="169" t="s">
        <v>24</v>
      </c>
      <c r="E23" s="169"/>
      <c r="F23" s="47">
        <v>2475</v>
      </c>
      <c r="G23" s="48">
        <v>5055</v>
      </c>
      <c r="H23" s="48">
        <v>2359</v>
      </c>
      <c r="I23" s="48">
        <v>2696</v>
      </c>
      <c r="J23" s="47">
        <v>2476</v>
      </c>
      <c r="K23" s="48">
        <v>4952</v>
      </c>
      <c r="L23" s="48">
        <v>2303</v>
      </c>
      <c r="M23" s="48">
        <v>2649</v>
      </c>
    </row>
    <row r="24" spans="2:14" ht="18" customHeight="1">
      <c r="J24" s="36"/>
      <c r="K24" s="36"/>
      <c r="L24" s="36"/>
      <c r="M24" s="36"/>
    </row>
    <row r="25" spans="2:14" ht="18" customHeight="1" thickBot="1">
      <c r="B25" s="160"/>
      <c r="C25" s="259" t="s">
        <v>45</v>
      </c>
      <c r="D25" s="259"/>
      <c r="E25" s="160"/>
    </row>
    <row r="26" spans="2:14" ht="20.100000000000001" customHeight="1">
      <c r="B26" s="158"/>
      <c r="C26" s="247" t="s">
        <v>42</v>
      </c>
      <c r="D26" s="247"/>
      <c r="E26" s="158"/>
      <c r="F26" s="251" t="s">
        <v>572</v>
      </c>
      <c r="G26" s="252"/>
      <c r="H26" s="252"/>
      <c r="I26" s="252"/>
      <c r="J26" s="257" t="s">
        <v>584</v>
      </c>
      <c r="K26" s="258"/>
      <c r="L26" s="258"/>
      <c r="M26" s="258"/>
    </row>
    <row r="27" spans="2:14" ht="20.100000000000001" customHeight="1">
      <c r="B27" s="12"/>
      <c r="C27" s="248"/>
      <c r="D27" s="248"/>
      <c r="E27" s="12"/>
      <c r="F27" s="164" t="s">
        <v>29</v>
      </c>
      <c r="G27" s="37" t="s">
        <v>30</v>
      </c>
      <c r="H27" s="37" t="s">
        <v>34</v>
      </c>
      <c r="I27" s="37" t="s">
        <v>35</v>
      </c>
      <c r="J27" s="164" t="s">
        <v>29</v>
      </c>
      <c r="K27" s="37" t="s">
        <v>30</v>
      </c>
      <c r="L27" s="37" t="s">
        <v>34</v>
      </c>
      <c r="M27" s="37" t="s">
        <v>35</v>
      </c>
      <c r="N27" s="1"/>
    </row>
    <row r="28" spans="2:14" s="168" customFormat="1" ht="20.100000000000001" customHeight="1">
      <c r="B28" s="170"/>
      <c r="C28" s="171" t="s">
        <v>424</v>
      </c>
      <c r="D28" s="172"/>
      <c r="E28" s="173"/>
      <c r="F28" s="166">
        <f>SUM(F30:F45)</f>
        <v>56265</v>
      </c>
      <c r="G28" s="167">
        <f t="shared" ref="G28:M28" si="0">SUM(G30:G45)</f>
        <v>116203</v>
      </c>
      <c r="H28" s="167">
        <f t="shared" si="0"/>
        <v>56319</v>
      </c>
      <c r="I28" s="167">
        <f t="shared" si="0"/>
        <v>59884</v>
      </c>
      <c r="J28" s="174">
        <f t="shared" si="0"/>
        <v>56409</v>
      </c>
      <c r="K28" s="175">
        <f t="shared" si="0"/>
        <v>115603</v>
      </c>
      <c r="L28" s="175">
        <f t="shared" si="0"/>
        <v>55980</v>
      </c>
      <c r="M28" s="175">
        <f t="shared" si="0"/>
        <v>59623</v>
      </c>
    </row>
    <row r="29" spans="2:14" ht="6.95" customHeight="1">
      <c r="B29" s="1"/>
      <c r="C29" s="1"/>
      <c r="D29" s="1"/>
      <c r="E29" s="7"/>
      <c r="F29" s="46"/>
      <c r="G29" s="36"/>
      <c r="H29" s="36"/>
      <c r="I29" s="36"/>
      <c r="J29" s="46"/>
      <c r="K29" s="36"/>
      <c r="L29" s="36"/>
      <c r="M29" s="36"/>
    </row>
    <row r="30" spans="2:14" ht="16.5" customHeight="1">
      <c r="B30" s="3"/>
      <c r="C30" s="1"/>
      <c r="D30" s="3" t="s">
        <v>44</v>
      </c>
      <c r="E30" s="13"/>
      <c r="F30" s="46">
        <v>7622</v>
      </c>
      <c r="G30" s="36">
        <v>16030</v>
      </c>
      <c r="H30" s="36">
        <v>7654</v>
      </c>
      <c r="I30" s="36">
        <v>8376</v>
      </c>
      <c r="J30" s="46">
        <v>7681</v>
      </c>
      <c r="K30" s="36">
        <v>15954</v>
      </c>
      <c r="L30" s="36">
        <v>7609</v>
      </c>
      <c r="M30" s="36">
        <v>8345</v>
      </c>
    </row>
    <row r="31" spans="2:14" ht="16.5" customHeight="1">
      <c r="B31" s="3"/>
      <c r="C31" s="1"/>
      <c r="D31" s="3" t="s">
        <v>11</v>
      </c>
      <c r="E31" s="13"/>
      <c r="F31" s="46">
        <v>5487</v>
      </c>
      <c r="G31" s="36">
        <v>11106</v>
      </c>
      <c r="H31" s="36">
        <v>5240</v>
      </c>
      <c r="I31" s="36">
        <v>5866</v>
      </c>
      <c r="J31" s="46">
        <v>5540</v>
      </c>
      <c r="K31" s="36">
        <v>11160</v>
      </c>
      <c r="L31" s="36">
        <v>5249</v>
      </c>
      <c r="M31" s="36">
        <v>5911</v>
      </c>
    </row>
    <row r="32" spans="2:14" ht="16.5" customHeight="1">
      <c r="B32" s="3"/>
      <c r="C32" s="1"/>
      <c r="D32" s="3" t="s">
        <v>12</v>
      </c>
      <c r="E32" s="13"/>
      <c r="F32" s="46">
        <v>4615</v>
      </c>
      <c r="G32" s="36">
        <v>9124</v>
      </c>
      <c r="H32" s="36">
        <v>4441</v>
      </c>
      <c r="I32" s="36">
        <v>4683</v>
      </c>
      <c r="J32" s="46">
        <v>4597</v>
      </c>
      <c r="K32" s="36">
        <v>9074</v>
      </c>
      <c r="L32" s="36">
        <v>4393</v>
      </c>
      <c r="M32" s="36">
        <v>4681</v>
      </c>
    </row>
    <row r="33" spans="2:13" ht="16.5" customHeight="1">
      <c r="B33" s="3"/>
      <c r="C33" s="1"/>
      <c r="D33" s="3" t="s">
        <v>13</v>
      </c>
      <c r="E33" s="13"/>
      <c r="F33" s="46">
        <v>2711</v>
      </c>
      <c r="G33" s="36">
        <v>5375</v>
      </c>
      <c r="H33" s="36">
        <v>2548</v>
      </c>
      <c r="I33" s="36">
        <v>2827</v>
      </c>
      <c r="J33" s="46">
        <v>2722</v>
      </c>
      <c r="K33" s="36">
        <v>5369</v>
      </c>
      <c r="L33" s="36">
        <v>2564</v>
      </c>
      <c r="M33" s="36">
        <v>2805</v>
      </c>
    </row>
    <row r="34" spans="2:13" ht="16.5" customHeight="1">
      <c r="B34" s="3"/>
      <c r="C34" s="1"/>
      <c r="D34" s="3" t="s">
        <v>14</v>
      </c>
      <c r="E34" s="13"/>
      <c r="F34" s="46">
        <v>4402</v>
      </c>
      <c r="G34" s="36">
        <v>9176</v>
      </c>
      <c r="H34" s="36">
        <v>4369</v>
      </c>
      <c r="I34" s="36">
        <v>4807</v>
      </c>
      <c r="J34" s="46">
        <v>4383</v>
      </c>
      <c r="K34" s="36">
        <v>9057</v>
      </c>
      <c r="L34" s="36">
        <v>4289</v>
      </c>
      <c r="M34" s="36">
        <v>4768</v>
      </c>
    </row>
    <row r="35" spans="2:13" ht="16.5" customHeight="1">
      <c r="B35" s="3"/>
      <c r="C35" s="1"/>
      <c r="D35" s="3" t="s">
        <v>15</v>
      </c>
      <c r="E35" s="13"/>
      <c r="F35" s="46">
        <v>4366</v>
      </c>
      <c r="G35" s="36">
        <v>9068</v>
      </c>
      <c r="H35" s="36">
        <v>4471</v>
      </c>
      <c r="I35" s="36">
        <v>4597</v>
      </c>
      <c r="J35" s="46">
        <v>4342</v>
      </c>
      <c r="K35" s="36">
        <v>8942</v>
      </c>
      <c r="L35" s="36">
        <v>4420</v>
      </c>
      <c r="M35" s="36">
        <v>4522</v>
      </c>
    </row>
    <row r="36" spans="2:13" ht="16.5" customHeight="1">
      <c r="B36" s="3"/>
      <c r="C36" s="1"/>
      <c r="D36" s="3" t="s">
        <v>16</v>
      </c>
      <c r="E36" s="13"/>
      <c r="F36" s="46">
        <v>68</v>
      </c>
      <c r="G36" s="36">
        <v>91</v>
      </c>
      <c r="H36" s="36">
        <v>41</v>
      </c>
      <c r="I36" s="36">
        <v>50</v>
      </c>
      <c r="J36" s="46">
        <v>62</v>
      </c>
      <c r="K36" s="36">
        <v>85</v>
      </c>
      <c r="L36" s="36">
        <v>38</v>
      </c>
      <c r="M36" s="36">
        <v>47</v>
      </c>
    </row>
    <row r="37" spans="2:13" ht="16.5" customHeight="1">
      <c r="B37" s="3"/>
      <c r="C37" s="1"/>
      <c r="D37" s="3" t="s">
        <v>17</v>
      </c>
      <c r="E37" s="13"/>
      <c r="F37" s="46">
        <v>681</v>
      </c>
      <c r="G37" s="36">
        <v>1218</v>
      </c>
      <c r="H37" s="36">
        <v>585</v>
      </c>
      <c r="I37" s="36">
        <v>633</v>
      </c>
      <c r="J37" s="46">
        <v>661</v>
      </c>
      <c r="K37" s="36">
        <v>1157</v>
      </c>
      <c r="L37" s="36">
        <v>553</v>
      </c>
      <c r="M37" s="36">
        <v>604</v>
      </c>
    </row>
    <row r="38" spans="2:13" ht="16.5" customHeight="1">
      <c r="B38" s="3"/>
      <c r="C38" s="1"/>
      <c r="D38" s="3" t="s">
        <v>18</v>
      </c>
      <c r="E38" s="13"/>
      <c r="F38" s="46">
        <v>6268</v>
      </c>
      <c r="G38" s="36">
        <v>12557</v>
      </c>
      <c r="H38" s="36">
        <v>6416</v>
      </c>
      <c r="I38" s="36">
        <v>6141</v>
      </c>
      <c r="J38" s="46">
        <v>6316</v>
      </c>
      <c r="K38" s="36">
        <v>12602</v>
      </c>
      <c r="L38" s="36">
        <v>6435</v>
      </c>
      <c r="M38" s="36">
        <v>6167</v>
      </c>
    </row>
    <row r="39" spans="2:13" ht="16.5" customHeight="1">
      <c r="B39" s="3"/>
      <c r="C39" s="1"/>
      <c r="D39" s="3" t="s">
        <v>19</v>
      </c>
      <c r="E39" s="13"/>
      <c r="F39" s="46">
        <v>6936</v>
      </c>
      <c r="G39" s="36">
        <v>15044</v>
      </c>
      <c r="H39" s="36">
        <v>7468</v>
      </c>
      <c r="I39" s="36">
        <v>7576</v>
      </c>
      <c r="J39" s="46">
        <v>7000</v>
      </c>
      <c r="K39" s="36">
        <v>15017</v>
      </c>
      <c r="L39" s="36">
        <v>7455</v>
      </c>
      <c r="M39" s="36">
        <v>7562</v>
      </c>
    </row>
    <row r="40" spans="2:13" ht="16.5" customHeight="1">
      <c r="B40" s="3"/>
      <c r="C40" s="1"/>
      <c r="D40" s="3" t="s">
        <v>20</v>
      </c>
      <c r="E40" s="13"/>
      <c r="F40" s="46">
        <v>1826</v>
      </c>
      <c r="G40" s="36">
        <v>3494</v>
      </c>
      <c r="H40" s="36">
        <v>1775</v>
      </c>
      <c r="I40" s="36">
        <v>1719</v>
      </c>
      <c r="J40" s="46">
        <v>1820</v>
      </c>
      <c r="K40" s="36">
        <v>3447</v>
      </c>
      <c r="L40" s="36">
        <v>1748</v>
      </c>
      <c r="M40" s="36">
        <v>1699</v>
      </c>
    </row>
    <row r="41" spans="2:13" ht="16.5" customHeight="1">
      <c r="B41" s="3"/>
      <c r="C41" s="1"/>
      <c r="D41" s="3" t="s">
        <v>21</v>
      </c>
      <c r="E41" s="13"/>
      <c r="F41" s="46">
        <v>3805</v>
      </c>
      <c r="G41" s="36">
        <v>8461</v>
      </c>
      <c r="H41" s="36">
        <v>3968</v>
      </c>
      <c r="I41" s="36">
        <v>4493</v>
      </c>
      <c r="J41" s="46">
        <v>3860</v>
      </c>
      <c r="K41" s="36">
        <v>8568</v>
      </c>
      <c r="L41" s="36">
        <v>4025</v>
      </c>
      <c r="M41" s="36">
        <v>4543</v>
      </c>
    </row>
    <row r="42" spans="2:13" ht="16.5" customHeight="1">
      <c r="B42" s="3"/>
      <c r="C42" s="1"/>
      <c r="D42" s="3" t="s">
        <v>549</v>
      </c>
      <c r="E42" s="13"/>
      <c r="F42" s="46">
        <v>2460</v>
      </c>
      <c r="G42" s="36">
        <v>5456</v>
      </c>
      <c r="H42" s="36">
        <v>2643</v>
      </c>
      <c r="I42" s="36">
        <v>2813</v>
      </c>
      <c r="J42" s="46">
        <v>2456</v>
      </c>
      <c r="K42" s="36">
        <v>5380</v>
      </c>
      <c r="L42" s="36">
        <v>2602</v>
      </c>
      <c r="M42" s="36">
        <v>2778</v>
      </c>
    </row>
    <row r="43" spans="2:13" ht="16.5" customHeight="1">
      <c r="B43" s="3"/>
      <c r="C43" s="1"/>
      <c r="D43" s="3" t="s">
        <v>22</v>
      </c>
      <c r="E43" s="13"/>
      <c r="F43" s="46">
        <v>1015</v>
      </c>
      <c r="G43" s="36">
        <v>1926</v>
      </c>
      <c r="H43" s="36">
        <v>882</v>
      </c>
      <c r="I43" s="36">
        <v>1044</v>
      </c>
      <c r="J43" s="46">
        <v>1007</v>
      </c>
      <c r="K43" s="36">
        <v>1890</v>
      </c>
      <c r="L43" s="36">
        <v>861</v>
      </c>
      <c r="M43" s="36">
        <v>1029</v>
      </c>
    </row>
    <row r="44" spans="2:13" ht="16.5" customHeight="1">
      <c r="B44" s="3"/>
      <c r="C44" s="1"/>
      <c r="D44" s="3" t="s">
        <v>23</v>
      </c>
      <c r="E44" s="13"/>
      <c r="F44" s="46">
        <v>1554</v>
      </c>
      <c r="G44" s="36">
        <v>3215</v>
      </c>
      <c r="H44" s="36">
        <v>1552</v>
      </c>
      <c r="I44" s="36">
        <v>1663</v>
      </c>
      <c r="J44" s="46">
        <v>1540</v>
      </c>
      <c r="K44" s="36">
        <v>3128</v>
      </c>
      <c r="L44" s="36">
        <v>1513</v>
      </c>
      <c r="M44" s="36">
        <v>1615</v>
      </c>
    </row>
    <row r="45" spans="2:13" ht="16.5" customHeight="1" thickBot="1">
      <c r="B45" s="169"/>
      <c r="C45" s="6"/>
      <c r="D45" s="169" t="s">
        <v>24</v>
      </c>
      <c r="E45" s="176"/>
      <c r="F45" s="47">
        <v>2449</v>
      </c>
      <c r="G45" s="48">
        <v>4862</v>
      </c>
      <c r="H45" s="48">
        <v>2266</v>
      </c>
      <c r="I45" s="48">
        <v>2596</v>
      </c>
      <c r="J45" s="47">
        <v>2422</v>
      </c>
      <c r="K45" s="48">
        <v>4773</v>
      </c>
      <c r="L45" s="48">
        <v>2226</v>
      </c>
      <c r="M45" s="48">
        <v>2547</v>
      </c>
    </row>
    <row r="46" spans="2:13" ht="18" customHeight="1">
      <c r="D46" s="2" t="s">
        <v>46</v>
      </c>
    </row>
    <row r="48" spans="2:13" ht="13.5" customHeight="1">
      <c r="J48" s="109"/>
    </row>
  </sheetData>
  <mergeCells count="10">
    <mergeCell ref="G2:K2"/>
    <mergeCell ref="F4:I4"/>
    <mergeCell ref="C4:D5"/>
    <mergeCell ref="J4:M4"/>
    <mergeCell ref="L3:M3"/>
    <mergeCell ref="C26:D27"/>
    <mergeCell ref="J26:M26"/>
    <mergeCell ref="C25:D25"/>
    <mergeCell ref="C6:D6"/>
    <mergeCell ref="F26:I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B1:DN52"/>
  <sheetViews>
    <sheetView showGridLines="0" view="pageBreakPreview" zoomScaleNormal="100" zoomScaleSheetLayoutView="100" workbookViewId="0"/>
  </sheetViews>
  <sheetFormatPr defaultRowHeight="12.75"/>
  <cols>
    <col min="1" max="1" width="5" style="22" customWidth="1"/>
    <col min="2" max="2" width="6.625" style="22" customWidth="1"/>
    <col min="3" max="3" width="8.75" style="22" customWidth="1"/>
    <col min="4" max="5" width="8.125" style="22" customWidth="1"/>
    <col min="6" max="7" width="7.625" style="22" bestFit="1" customWidth="1"/>
    <col min="8" max="8" width="5.625" style="22" customWidth="1"/>
    <col min="9" max="9" width="9.25" style="22" customWidth="1"/>
    <col min="10" max="11" width="8.125" style="22" customWidth="1"/>
    <col min="12" max="14" width="6.625" style="22" customWidth="1"/>
    <col min="15" max="15" width="7.625" style="22" customWidth="1"/>
    <col min="16" max="17" width="8.125" style="22" customWidth="1"/>
    <col min="18" max="20" width="6.625" style="22" customWidth="1"/>
    <col min="21" max="21" width="9.125" style="22" customWidth="1"/>
    <col min="22" max="23" width="8.125" style="22" customWidth="1"/>
    <col min="24" max="25" width="6.625" style="22" customWidth="1"/>
    <col min="26" max="26" width="2.125" style="22" customWidth="1"/>
    <col min="27" max="16384" width="9" style="22"/>
  </cols>
  <sheetData>
    <row r="1" spans="2:118" ht="13.5" customHeight="1"/>
    <row r="2" spans="2:118" s="51" customFormat="1" ht="18" customHeight="1">
      <c r="E2" s="89"/>
      <c r="F2" s="89"/>
      <c r="G2" s="89"/>
      <c r="H2" s="89"/>
      <c r="I2" s="124" t="s">
        <v>558</v>
      </c>
      <c r="J2" s="276" t="s">
        <v>580</v>
      </c>
      <c r="K2" s="276"/>
      <c r="L2" s="276"/>
      <c r="M2" s="276"/>
      <c r="N2" s="276"/>
      <c r="O2" s="276"/>
      <c r="P2" s="277"/>
    </row>
    <row r="3" spans="2:118" ht="18" customHeight="1" thickBot="1">
      <c r="N3" s="29"/>
      <c r="O3" s="29"/>
      <c r="W3" s="269" t="s">
        <v>583</v>
      </c>
      <c r="X3" s="269"/>
      <c r="Y3" s="269"/>
    </row>
    <row r="4" spans="2:118" s="177" customFormat="1" ht="23.1" customHeight="1">
      <c r="B4" s="275" t="s">
        <v>47</v>
      </c>
      <c r="C4" s="271"/>
      <c r="D4" s="94" t="s">
        <v>48</v>
      </c>
      <c r="E4" s="94" t="s">
        <v>49</v>
      </c>
      <c r="F4" s="94" t="s">
        <v>34</v>
      </c>
      <c r="G4" s="94" t="s">
        <v>35</v>
      </c>
      <c r="H4" s="270" t="s">
        <v>47</v>
      </c>
      <c r="I4" s="271"/>
      <c r="J4" s="94" t="s">
        <v>48</v>
      </c>
      <c r="K4" s="94" t="s">
        <v>49</v>
      </c>
      <c r="L4" s="94" t="s">
        <v>34</v>
      </c>
      <c r="M4" s="94" t="s">
        <v>35</v>
      </c>
      <c r="N4" s="270" t="s">
        <v>47</v>
      </c>
      <c r="O4" s="271"/>
      <c r="P4" s="94" t="s">
        <v>48</v>
      </c>
      <c r="Q4" s="94" t="s">
        <v>49</v>
      </c>
      <c r="R4" s="94" t="s">
        <v>34</v>
      </c>
      <c r="S4" s="94" t="s">
        <v>35</v>
      </c>
      <c r="T4" s="270" t="s">
        <v>47</v>
      </c>
      <c r="U4" s="271"/>
      <c r="V4" s="94" t="s">
        <v>48</v>
      </c>
      <c r="W4" s="94" t="s">
        <v>49</v>
      </c>
      <c r="X4" s="94" t="s">
        <v>34</v>
      </c>
      <c r="Y4" s="94" t="s">
        <v>35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</row>
    <row r="5" spans="2:118" ht="9" customHeight="1">
      <c r="B5" s="19"/>
      <c r="C5" s="19"/>
      <c r="D5" s="20"/>
      <c r="E5" s="21"/>
      <c r="F5" s="21"/>
      <c r="G5" s="21"/>
      <c r="H5" s="178"/>
      <c r="I5" s="179"/>
      <c r="J5" s="21"/>
      <c r="K5" s="21"/>
      <c r="L5" s="21"/>
      <c r="M5" s="21"/>
      <c r="N5" s="23"/>
      <c r="O5" s="44"/>
      <c r="P5" s="20"/>
      <c r="Q5" s="21"/>
      <c r="R5" s="21"/>
      <c r="S5" s="21"/>
      <c r="T5" s="23"/>
      <c r="U5" s="19"/>
      <c r="V5" s="20"/>
      <c r="W5" s="21"/>
      <c r="X5" s="21"/>
      <c r="Y5" s="21"/>
    </row>
    <row r="6" spans="2:118" ht="18" customHeight="1">
      <c r="B6" s="266" t="s">
        <v>545</v>
      </c>
      <c r="C6" s="267"/>
      <c r="D6" s="180">
        <f>SUM(D8:D38,J6:J38,P6:P38,V6:V37)</f>
        <v>56409</v>
      </c>
      <c r="E6" s="181">
        <f>SUM(E8:E38,K6:K38,Q6:Q38,W6:W37)</f>
        <v>115603</v>
      </c>
      <c r="F6" s="181">
        <f>SUM(F8:F38,L6:L38,R6:R38,X6:X37)</f>
        <v>55980</v>
      </c>
      <c r="G6" s="182">
        <f>SUM(G8:G38,M6:M38,S6:S38,Y6:Y37)</f>
        <v>59623</v>
      </c>
      <c r="H6" s="264" t="s">
        <v>52</v>
      </c>
      <c r="I6" s="265"/>
      <c r="J6" s="27">
        <v>162</v>
      </c>
      <c r="K6" s="26">
        <v>283</v>
      </c>
      <c r="L6" s="27">
        <v>139</v>
      </c>
      <c r="M6" s="27">
        <v>144</v>
      </c>
      <c r="N6" s="264" t="s">
        <v>425</v>
      </c>
      <c r="O6" s="265"/>
      <c r="P6" s="49">
        <v>192</v>
      </c>
      <c r="Q6" s="26">
        <v>348</v>
      </c>
      <c r="R6" s="27">
        <v>154</v>
      </c>
      <c r="S6" s="27">
        <v>194</v>
      </c>
      <c r="T6" s="264" t="s">
        <v>577</v>
      </c>
      <c r="U6" s="265"/>
      <c r="V6" s="49">
        <v>579</v>
      </c>
      <c r="W6" s="26">
        <v>1452</v>
      </c>
      <c r="X6" s="27">
        <v>728</v>
      </c>
      <c r="Y6" s="27">
        <v>724</v>
      </c>
    </row>
    <row r="7" spans="2:118" ht="18" customHeight="1">
      <c r="B7" s="266"/>
      <c r="C7" s="267"/>
      <c r="E7" s="183"/>
      <c r="G7" s="184"/>
      <c r="H7" s="264" t="s">
        <v>467</v>
      </c>
      <c r="I7" s="265"/>
      <c r="J7" s="27">
        <v>143</v>
      </c>
      <c r="K7" s="26">
        <v>278</v>
      </c>
      <c r="L7" s="27">
        <v>122</v>
      </c>
      <c r="M7" s="27">
        <v>156</v>
      </c>
      <c r="N7" s="264" t="s">
        <v>468</v>
      </c>
      <c r="O7" s="265"/>
      <c r="P7" s="49">
        <v>101</v>
      </c>
      <c r="Q7" s="26">
        <v>202</v>
      </c>
      <c r="R7" s="27">
        <v>87</v>
      </c>
      <c r="S7" s="27">
        <v>115</v>
      </c>
      <c r="T7" s="262" t="s">
        <v>485</v>
      </c>
      <c r="U7" s="263"/>
      <c r="V7" s="49">
        <v>300</v>
      </c>
      <c r="W7" s="26">
        <v>667</v>
      </c>
      <c r="X7" s="27">
        <v>316</v>
      </c>
      <c r="Y7" s="27">
        <v>351</v>
      </c>
    </row>
    <row r="8" spans="2:118" ht="18" customHeight="1">
      <c r="B8" s="19" t="s">
        <v>51</v>
      </c>
      <c r="C8" s="24" t="s">
        <v>53</v>
      </c>
      <c r="D8" s="49">
        <v>1769</v>
      </c>
      <c r="E8" s="26">
        <v>3490</v>
      </c>
      <c r="F8" s="27">
        <v>1663</v>
      </c>
      <c r="G8" s="27">
        <v>1827</v>
      </c>
      <c r="H8" s="264" t="s">
        <v>54</v>
      </c>
      <c r="I8" s="265"/>
      <c r="J8" s="27">
        <v>231</v>
      </c>
      <c r="K8" s="26">
        <v>411</v>
      </c>
      <c r="L8" s="27">
        <v>193</v>
      </c>
      <c r="M8" s="27">
        <v>218</v>
      </c>
      <c r="N8" s="264" t="s">
        <v>58</v>
      </c>
      <c r="O8" s="265"/>
      <c r="P8" s="49">
        <v>174</v>
      </c>
      <c r="Q8" s="185">
        <v>314</v>
      </c>
      <c r="R8" s="27">
        <v>146</v>
      </c>
      <c r="S8" s="27">
        <v>168</v>
      </c>
      <c r="T8" s="264" t="s">
        <v>62</v>
      </c>
      <c r="U8" s="268"/>
      <c r="V8" s="49">
        <v>487</v>
      </c>
      <c r="W8" s="185">
        <v>991</v>
      </c>
      <c r="X8" s="27">
        <v>494</v>
      </c>
      <c r="Y8" s="27">
        <v>497</v>
      </c>
    </row>
    <row r="9" spans="2:118" ht="18" customHeight="1">
      <c r="B9" s="19" t="s">
        <v>51</v>
      </c>
      <c r="C9" s="24" t="s">
        <v>44</v>
      </c>
      <c r="D9" s="49">
        <v>1485</v>
      </c>
      <c r="E9" s="26">
        <v>2986</v>
      </c>
      <c r="F9" s="27">
        <v>1438</v>
      </c>
      <c r="G9" s="27">
        <v>1548</v>
      </c>
      <c r="H9" s="264" t="s">
        <v>57</v>
      </c>
      <c r="I9" s="265"/>
      <c r="J9" s="27">
        <v>171</v>
      </c>
      <c r="K9" s="26">
        <v>294</v>
      </c>
      <c r="L9" s="27">
        <v>137</v>
      </c>
      <c r="M9" s="27">
        <v>157</v>
      </c>
      <c r="N9" s="264" t="s">
        <v>61</v>
      </c>
      <c r="O9" s="265"/>
      <c r="P9" s="49">
        <v>445</v>
      </c>
      <c r="Q9" s="185">
        <v>821</v>
      </c>
      <c r="R9" s="27">
        <v>400</v>
      </c>
      <c r="S9" s="27">
        <v>421</v>
      </c>
      <c r="T9" s="264" t="s">
        <v>66</v>
      </c>
      <c r="U9" s="268"/>
      <c r="V9" s="49">
        <v>347</v>
      </c>
      <c r="W9" s="185">
        <v>724</v>
      </c>
      <c r="X9" s="27">
        <v>360</v>
      </c>
      <c r="Y9" s="27">
        <v>364</v>
      </c>
    </row>
    <row r="10" spans="2:118" ht="18" customHeight="1">
      <c r="B10" s="268" t="s">
        <v>56</v>
      </c>
      <c r="C10" s="268"/>
      <c r="D10" s="49">
        <v>318</v>
      </c>
      <c r="E10" s="26">
        <v>590</v>
      </c>
      <c r="F10" s="27">
        <v>304</v>
      </c>
      <c r="G10" s="27">
        <v>286</v>
      </c>
      <c r="H10" s="264" t="s">
        <v>60</v>
      </c>
      <c r="I10" s="265"/>
      <c r="J10" s="27">
        <v>105</v>
      </c>
      <c r="K10" s="26">
        <v>199</v>
      </c>
      <c r="L10" s="27">
        <v>102</v>
      </c>
      <c r="M10" s="27">
        <v>97</v>
      </c>
      <c r="N10" s="264" t="s">
        <v>65</v>
      </c>
      <c r="O10" s="265"/>
      <c r="P10" s="49">
        <v>291</v>
      </c>
      <c r="Q10" s="185">
        <v>516</v>
      </c>
      <c r="R10" s="27">
        <v>215</v>
      </c>
      <c r="S10" s="27">
        <v>301</v>
      </c>
      <c r="T10" s="264" t="s">
        <v>70</v>
      </c>
      <c r="U10" s="268"/>
      <c r="V10" s="49">
        <v>296</v>
      </c>
      <c r="W10" s="185">
        <v>656</v>
      </c>
      <c r="X10" s="27">
        <v>336</v>
      </c>
      <c r="Y10" s="27">
        <v>320</v>
      </c>
    </row>
    <row r="11" spans="2:118" ht="18" customHeight="1">
      <c r="B11" s="268" t="s">
        <v>59</v>
      </c>
      <c r="C11" s="268"/>
      <c r="D11" s="49">
        <v>438</v>
      </c>
      <c r="E11" s="26">
        <v>887</v>
      </c>
      <c r="F11" s="27">
        <v>419</v>
      </c>
      <c r="G11" s="27">
        <v>468</v>
      </c>
      <c r="H11" s="264" t="s">
        <v>64</v>
      </c>
      <c r="I11" s="265"/>
      <c r="J11" s="27">
        <v>567</v>
      </c>
      <c r="K11" s="26">
        <v>1114</v>
      </c>
      <c r="L11" s="27">
        <v>524</v>
      </c>
      <c r="M11" s="27">
        <v>590</v>
      </c>
      <c r="N11" s="264" t="s">
        <v>69</v>
      </c>
      <c r="O11" s="265"/>
      <c r="P11" s="49">
        <v>114</v>
      </c>
      <c r="Q11" s="185">
        <v>211</v>
      </c>
      <c r="R11" s="27">
        <v>100</v>
      </c>
      <c r="S11" s="27">
        <v>111</v>
      </c>
      <c r="T11" s="264" t="s">
        <v>74</v>
      </c>
      <c r="U11" s="268"/>
      <c r="V11" s="49">
        <v>515</v>
      </c>
      <c r="W11" s="185">
        <v>1195</v>
      </c>
      <c r="X11" s="27">
        <v>567</v>
      </c>
      <c r="Y11" s="27">
        <v>628</v>
      </c>
    </row>
    <row r="12" spans="2:118" ht="18" customHeight="1">
      <c r="B12" s="268" t="s">
        <v>63</v>
      </c>
      <c r="C12" s="268"/>
      <c r="D12" s="49">
        <v>313</v>
      </c>
      <c r="E12" s="26">
        <v>674</v>
      </c>
      <c r="F12" s="27">
        <v>322</v>
      </c>
      <c r="G12" s="27">
        <v>352</v>
      </c>
      <c r="H12" s="264" t="s">
        <v>68</v>
      </c>
      <c r="I12" s="265"/>
      <c r="J12" s="27">
        <v>165</v>
      </c>
      <c r="K12" s="26">
        <v>289</v>
      </c>
      <c r="L12" s="27">
        <v>144</v>
      </c>
      <c r="M12" s="27">
        <v>145</v>
      </c>
      <c r="N12" s="264" t="s">
        <v>73</v>
      </c>
      <c r="O12" s="265"/>
      <c r="P12" s="49">
        <v>175</v>
      </c>
      <c r="Q12" s="185">
        <v>306</v>
      </c>
      <c r="R12" s="27">
        <v>138</v>
      </c>
      <c r="S12" s="27">
        <v>168</v>
      </c>
      <c r="T12" s="264" t="s">
        <v>78</v>
      </c>
      <c r="U12" s="268"/>
      <c r="V12" s="49">
        <v>386</v>
      </c>
      <c r="W12" s="185">
        <v>751</v>
      </c>
      <c r="X12" s="27">
        <v>364</v>
      </c>
      <c r="Y12" s="27">
        <v>387</v>
      </c>
    </row>
    <row r="13" spans="2:118" ht="18" customHeight="1">
      <c r="B13" s="268" t="s">
        <v>67</v>
      </c>
      <c r="C13" s="268"/>
      <c r="D13" s="49">
        <v>301</v>
      </c>
      <c r="E13" s="26">
        <v>725</v>
      </c>
      <c r="F13" s="27">
        <v>336</v>
      </c>
      <c r="G13" s="27">
        <v>389</v>
      </c>
      <c r="H13" s="264" t="s">
        <v>72</v>
      </c>
      <c r="I13" s="265"/>
      <c r="J13" s="27">
        <v>160</v>
      </c>
      <c r="K13" s="26">
        <v>272</v>
      </c>
      <c r="L13" s="27">
        <v>119</v>
      </c>
      <c r="M13" s="27">
        <v>153</v>
      </c>
      <c r="N13" s="264" t="s">
        <v>77</v>
      </c>
      <c r="O13" s="265"/>
      <c r="P13" s="49">
        <v>175</v>
      </c>
      <c r="Q13" s="185">
        <v>301</v>
      </c>
      <c r="R13" s="27">
        <v>140</v>
      </c>
      <c r="S13" s="27">
        <v>161</v>
      </c>
      <c r="T13" s="264" t="s">
        <v>82</v>
      </c>
      <c r="U13" s="268"/>
      <c r="V13" s="49">
        <v>238</v>
      </c>
      <c r="W13" s="185">
        <v>518</v>
      </c>
      <c r="X13" s="27">
        <v>256</v>
      </c>
      <c r="Y13" s="27">
        <v>262</v>
      </c>
    </row>
    <row r="14" spans="2:118" ht="18" customHeight="1">
      <c r="B14" s="268" t="s">
        <v>71</v>
      </c>
      <c r="C14" s="268"/>
      <c r="D14" s="49">
        <v>209</v>
      </c>
      <c r="E14" s="26">
        <v>400</v>
      </c>
      <c r="F14" s="27">
        <v>194</v>
      </c>
      <c r="G14" s="27">
        <v>206</v>
      </c>
      <c r="H14" s="264" t="s">
        <v>76</v>
      </c>
      <c r="I14" s="265"/>
      <c r="J14" s="27">
        <v>459</v>
      </c>
      <c r="K14" s="26">
        <v>809</v>
      </c>
      <c r="L14" s="27">
        <v>388</v>
      </c>
      <c r="M14" s="27">
        <v>421</v>
      </c>
      <c r="N14" s="264" t="s">
        <v>81</v>
      </c>
      <c r="O14" s="265"/>
      <c r="P14" s="49">
        <v>289</v>
      </c>
      <c r="Q14" s="185">
        <v>597</v>
      </c>
      <c r="R14" s="27">
        <v>282</v>
      </c>
      <c r="S14" s="27">
        <v>315</v>
      </c>
      <c r="T14" s="264" t="s">
        <v>86</v>
      </c>
      <c r="U14" s="268"/>
      <c r="V14" s="49">
        <v>180</v>
      </c>
      <c r="W14" s="185">
        <v>338</v>
      </c>
      <c r="X14" s="27">
        <v>176</v>
      </c>
      <c r="Y14" s="27">
        <v>162</v>
      </c>
    </row>
    <row r="15" spans="2:118" ht="18" customHeight="1">
      <c r="B15" s="268" t="s">
        <v>75</v>
      </c>
      <c r="C15" s="268"/>
      <c r="D15" s="49">
        <v>226</v>
      </c>
      <c r="E15" s="26">
        <v>432</v>
      </c>
      <c r="F15" s="27">
        <v>175</v>
      </c>
      <c r="G15" s="27">
        <v>257</v>
      </c>
      <c r="H15" s="264" t="s">
        <v>80</v>
      </c>
      <c r="I15" s="265"/>
      <c r="J15" s="27">
        <v>244</v>
      </c>
      <c r="K15" s="26">
        <v>490</v>
      </c>
      <c r="L15" s="27">
        <v>229</v>
      </c>
      <c r="M15" s="27">
        <v>261</v>
      </c>
      <c r="N15" s="264" t="s">
        <v>85</v>
      </c>
      <c r="O15" s="265"/>
      <c r="P15" s="49">
        <v>271</v>
      </c>
      <c r="Q15" s="185">
        <v>537</v>
      </c>
      <c r="R15" s="27">
        <v>240</v>
      </c>
      <c r="S15" s="27">
        <v>297</v>
      </c>
      <c r="T15" s="264" t="s">
        <v>90</v>
      </c>
      <c r="U15" s="268"/>
      <c r="V15" s="49">
        <v>475</v>
      </c>
      <c r="W15" s="185">
        <v>1222</v>
      </c>
      <c r="X15" s="27">
        <v>593</v>
      </c>
      <c r="Y15" s="27">
        <v>629</v>
      </c>
    </row>
    <row r="16" spans="2:118" ht="18" customHeight="1">
      <c r="B16" s="268" t="s">
        <v>79</v>
      </c>
      <c r="C16" s="268"/>
      <c r="D16" s="49">
        <v>341</v>
      </c>
      <c r="E16" s="26">
        <v>780</v>
      </c>
      <c r="F16" s="27">
        <v>372</v>
      </c>
      <c r="G16" s="27">
        <v>408</v>
      </c>
      <c r="H16" s="264" t="s">
        <v>84</v>
      </c>
      <c r="I16" s="265"/>
      <c r="J16" s="27">
        <v>360</v>
      </c>
      <c r="K16" s="26">
        <v>714</v>
      </c>
      <c r="L16" s="27">
        <v>331</v>
      </c>
      <c r="M16" s="27">
        <v>383</v>
      </c>
      <c r="N16" s="264" t="s">
        <v>89</v>
      </c>
      <c r="O16" s="265"/>
      <c r="P16" s="49">
        <v>238</v>
      </c>
      <c r="Q16" s="185">
        <v>499</v>
      </c>
      <c r="R16" s="27">
        <v>234</v>
      </c>
      <c r="S16" s="27">
        <v>265</v>
      </c>
      <c r="T16" s="264" t="s">
        <v>94</v>
      </c>
      <c r="U16" s="268"/>
      <c r="V16" s="49">
        <v>383</v>
      </c>
      <c r="W16" s="185">
        <v>803</v>
      </c>
      <c r="X16" s="27">
        <v>400</v>
      </c>
      <c r="Y16" s="27">
        <v>403</v>
      </c>
    </row>
    <row r="17" spans="2:25" ht="18" customHeight="1">
      <c r="B17" s="268" t="s">
        <v>83</v>
      </c>
      <c r="C17" s="268"/>
      <c r="D17" s="49">
        <v>312</v>
      </c>
      <c r="E17" s="26">
        <v>616</v>
      </c>
      <c r="F17" s="27">
        <v>282</v>
      </c>
      <c r="G17" s="27">
        <v>334</v>
      </c>
      <c r="H17" s="264" t="s">
        <v>88</v>
      </c>
      <c r="I17" s="265"/>
      <c r="J17" s="27">
        <v>530</v>
      </c>
      <c r="K17" s="26">
        <v>987</v>
      </c>
      <c r="L17" s="27">
        <v>476</v>
      </c>
      <c r="M17" s="27">
        <v>511</v>
      </c>
      <c r="N17" s="264" t="s">
        <v>93</v>
      </c>
      <c r="O17" s="265"/>
      <c r="P17" s="49">
        <v>149</v>
      </c>
      <c r="Q17" s="185">
        <v>305</v>
      </c>
      <c r="R17" s="27">
        <v>149</v>
      </c>
      <c r="S17" s="27">
        <v>156</v>
      </c>
      <c r="T17" s="264" t="s">
        <v>98</v>
      </c>
      <c r="U17" s="268"/>
      <c r="V17" s="49">
        <v>507</v>
      </c>
      <c r="W17" s="185">
        <v>1106</v>
      </c>
      <c r="X17" s="27">
        <v>557</v>
      </c>
      <c r="Y17" s="27">
        <v>549</v>
      </c>
    </row>
    <row r="18" spans="2:25" ht="18" customHeight="1">
      <c r="B18" s="268" t="s">
        <v>87</v>
      </c>
      <c r="C18" s="268"/>
      <c r="D18" s="49">
        <v>402</v>
      </c>
      <c r="E18" s="26">
        <v>788</v>
      </c>
      <c r="F18" s="27">
        <v>378</v>
      </c>
      <c r="G18" s="27">
        <v>410</v>
      </c>
      <c r="H18" s="264" t="s">
        <v>92</v>
      </c>
      <c r="I18" s="265"/>
      <c r="J18" s="27">
        <v>311</v>
      </c>
      <c r="K18" s="26">
        <v>628</v>
      </c>
      <c r="L18" s="27">
        <v>300</v>
      </c>
      <c r="M18" s="27">
        <v>328</v>
      </c>
      <c r="N18" s="264" t="s">
        <v>97</v>
      </c>
      <c r="O18" s="265"/>
      <c r="P18" s="49">
        <v>221</v>
      </c>
      <c r="Q18" s="185">
        <v>376</v>
      </c>
      <c r="R18" s="27">
        <v>159</v>
      </c>
      <c r="S18" s="27">
        <v>217</v>
      </c>
      <c r="T18" s="23" t="s">
        <v>51</v>
      </c>
      <c r="U18" s="24" t="s">
        <v>20</v>
      </c>
      <c r="V18" s="49">
        <v>1824</v>
      </c>
      <c r="W18" s="185">
        <v>3456</v>
      </c>
      <c r="X18" s="27">
        <v>1754</v>
      </c>
      <c r="Y18" s="27">
        <v>1702</v>
      </c>
    </row>
    <row r="19" spans="2:25" ht="18" customHeight="1">
      <c r="B19" s="268" t="s">
        <v>91</v>
      </c>
      <c r="C19" s="268"/>
      <c r="D19" s="49">
        <v>322</v>
      </c>
      <c r="E19" s="26">
        <v>632</v>
      </c>
      <c r="F19" s="27">
        <v>305</v>
      </c>
      <c r="G19" s="27">
        <v>327</v>
      </c>
      <c r="H19" s="264" t="s">
        <v>96</v>
      </c>
      <c r="I19" s="265"/>
      <c r="J19" s="27">
        <v>212</v>
      </c>
      <c r="K19" s="26">
        <v>423</v>
      </c>
      <c r="L19" s="27">
        <v>213</v>
      </c>
      <c r="M19" s="27">
        <v>210</v>
      </c>
      <c r="N19" s="264" t="s">
        <v>101</v>
      </c>
      <c r="O19" s="265"/>
      <c r="P19" s="49">
        <v>362</v>
      </c>
      <c r="Q19" s="185">
        <v>748</v>
      </c>
      <c r="R19" s="27">
        <v>351</v>
      </c>
      <c r="S19" s="27">
        <v>397</v>
      </c>
      <c r="T19" s="23" t="s">
        <v>51</v>
      </c>
      <c r="U19" s="24" t="s">
        <v>105</v>
      </c>
      <c r="V19" s="49">
        <v>959</v>
      </c>
      <c r="W19" s="185">
        <v>2070</v>
      </c>
      <c r="X19" s="27">
        <v>986</v>
      </c>
      <c r="Y19" s="27">
        <v>1084</v>
      </c>
    </row>
    <row r="20" spans="2:25" ht="18" customHeight="1">
      <c r="B20" s="268" t="s">
        <v>95</v>
      </c>
      <c r="C20" s="268"/>
      <c r="D20" s="49">
        <v>322</v>
      </c>
      <c r="E20" s="26">
        <v>711</v>
      </c>
      <c r="F20" s="27">
        <v>333</v>
      </c>
      <c r="G20" s="27">
        <v>378</v>
      </c>
      <c r="H20" s="264" t="s">
        <v>100</v>
      </c>
      <c r="I20" s="265"/>
      <c r="J20" s="27">
        <v>366</v>
      </c>
      <c r="K20" s="26">
        <v>761</v>
      </c>
      <c r="L20" s="27">
        <v>376</v>
      </c>
      <c r="M20" s="27">
        <v>385</v>
      </c>
      <c r="N20" s="264" t="s">
        <v>104</v>
      </c>
      <c r="O20" s="265"/>
      <c r="P20" s="49">
        <v>84</v>
      </c>
      <c r="Q20" s="185">
        <v>133</v>
      </c>
      <c r="R20" s="27">
        <v>58</v>
      </c>
      <c r="S20" s="27">
        <v>75</v>
      </c>
      <c r="T20" s="23" t="s">
        <v>51</v>
      </c>
      <c r="U20" s="24" t="s">
        <v>109</v>
      </c>
      <c r="V20" s="49">
        <v>1146</v>
      </c>
      <c r="W20" s="185">
        <v>2801</v>
      </c>
      <c r="X20" s="27">
        <v>1338</v>
      </c>
      <c r="Y20" s="27">
        <v>1463</v>
      </c>
    </row>
    <row r="21" spans="2:25" ht="18" customHeight="1">
      <c r="B21" s="268" t="s">
        <v>99</v>
      </c>
      <c r="C21" s="268"/>
      <c r="D21" s="49">
        <v>529</v>
      </c>
      <c r="E21" s="26">
        <v>1273</v>
      </c>
      <c r="F21" s="27">
        <v>613</v>
      </c>
      <c r="G21" s="27">
        <v>660</v>
      </c>
      <c r="H21" s="264" t="s">
        <v>103</v>
      </c>
      <c r="I21" s="265"/>
      <c r="J21" s="27">
        <v>84</v>
      </c>
      <c r="K21" s="26">
        <v>155</v>
      </c>
      <c r="L21" s="27">
        <v>77</v>
      </c>
      <c r="M21" s="27">
        <v>78</v>
      </c>
      <c r="N21" s="264" t="s">
        <v>108</v>
      </c>
      <c r="O21" s="265"/>
      <c r="P21" s="49">
        <v>239</v>
      </c>
      <c r="Q21" s="185">
        <v>426</v>
      </c>
      <c r="R21" s="27">
        <v>211</v>
      </c>
      <c r="S21" s="27">
        <v>215</v>
      </c>
      <c r="T21" s="23" t="s">
        <v>51</v>
      </c>
      <c r="U21" s="24" t="s">
        <v>112</v>
      </c>
      <c r="V21" s="49">
        <v>1552</v>
      </c>
      <c r="W21" s="185">
        <v>3292</v>
      </c>
      <c r="X21" s="27">
        <v>1548</v>
      </c>
      <c r="Y21" s="27">
        <v>1744</v>
      </c>
    </row>
    <row r="22" spans="2:25" ht="18" customHeight="1">
      <c r="B22" s="268" t="s">
        <v>102</v>
      </c>
      <c r="C22" s="268"/>
      <c r="D22" s="49">
        <v>366</v>
      </c>
      <c r="E22" s="26">
        <v>904</v>
      </c>
      <c r="F22" s="27">
        <v>443</v>
      </c>
      <c r="G22" s="27">
        <v>461</v>
      </c>
      <c r="H22" s="264" t="s">
        <v>107</v>
      </c>
      <c r="I22" s="265"/>
      <c r="J22" s="27">
        <v>202</v>
      </c>
      <c r="K22" s="26">
        <v>369</v>
      </c>
      <c r="L22" s="27">
        <v>194</v>
      </c>
      <c r="M22" s="27">
        <v>175</v>
      </c>
      <c r="N22" s="264" t="s">
        <v>426</v>
      </c>
      <c r="O22" s="265"/>
      <c r="P22" s="49">
        <v>211</v>
      </c>
      <c r="Q22" s="185">
        <v>467</v>
      </c>
      <c r="R22" s="27">
        <v>220</v>
      </c>
      <c r="S22" s="27">
        <v>247</v>
      </c>
      <c r="T22" s="23" t="s">
        <v>51</v>
      </c>
      <c r="U22" s="24" t="s">
        <v>115</v>
      </c>
      <c r="V22" s="49">
        <v>875</v>
      </c>
      <c r="W22" s="185">
        <v>1766</v>
      </c>
      <c r="X22" s="27">
        <v>798</v>
      </c>
      <c r="Y22" s="27">
        <v>968</v>
      </c>
    </row>
    <row r="23" spans="2:25" ht="18" customHeight="1">
      <c r="B23" s="268" t="s">
        <v>106</v>
      </c>
      <c r="C23" s="268"/>
      <c r="D23" s="49">
        <v>356</v>
      </c>
      <c r="E23" s="26">
        <v>766</v>
      </c>
      <c r="F23" s="27">
        <v>354</v>
      </c>
      <c r="G23" s="27">
        <v>412</v>
      </c>
      <c r="H23" s="264" t="s">
        <v>111</v>
      </c>
      <c r="I23" s="265"/>
      <c r="J23" s="27">
        <v>127</v>
      </c>
      <c r="K23" s="26">
        <v>250</v>
      </c>
      <c r="L23" s="27">
        <v>121</v>
      </c>
      <c r="M23" s="27">
        <v>129</v>
      </c>
      <c r="N23" s="264" t="s">
        <v>427</v>
      </c>
      <c r="O23" s="265"/>
      <c r="P23" s="23">
        <v>192</v>
      </c>
      <c r="Q23" s="185">
        <v>387</v>
      </c>
      <c r="R23" s="22">
        <v>180</v>
      </c>
      <c r="S23" s="22">
        <v>207</v>
      </c>
      <c r="T23" s="23" t="s">
        <v>51</v>
      </c>
      <c r="U23" s="24" t="s">
        <v>118</v>
      </c>
      <c r="V23" s="23">
        <v>536</v>
      </c>
      <c r="W23" s="185">
        <v>1098</v>
      </c>
      <c r="X23" s="27">
        <v>527</v>
      </c>
      <c r="Y23" s="27">
        <v>571</v>
      </c>
    </row>
    <row r="24" spans="2:25" ht="18" customHeight="1">
      <c r="B24" s="268" t="s">
        <v>110</v>
      </c>
      <c r="C24" s="268"/>
      <c r="D24" s="49">
        <v>164</v>
      </c>
      <c r="E24" s="26">
        <v>375</v>
      </c>
      <c r="F24" s="27">
        <v>176</v>
      </c>
      <c r="G24" s="27">
        <v>199</v>
      </c>
      <c r="H24" s="264" t="s">
        <v>114</v>
      </c>
      <c r="I24" s="265"/>
      <c r="J24" s="27">
        <v>75</v>
      </c>
      <c r="K24" s="26">
        <v>107</v>
      </c>
      <c r="L24" s="27">
        <v>67</v>
      </c>
      <c r="M24" s="27">
        <v>40</v>
      </c>
      <c r="N24" s="264" t="s">
        <v>428</v>
      </c>
      <c r="O24" s="265"/>
      <c r="P24" s="23">
        <v>496</v>
      </c>
      <c r="Q24" s="185">
        <v>1124</v>
      </c>
      <c r="R24" s="22">
        <v>562</v>
      </c>
      <c r="S24" s="22">
        <v>562</v>
      </c>
      <c r="T24" s="264" t="s">
        <v>475</v>
      </c>
      <c r="U24" s="268"/>
      <c r="V24" s="49">
        <v>283</v>
      </c>
      <c r="W24" s="185">
        <v>654</v>
      </c>
      <c r="X24" s="27">
        <v>325</v>
      </c>
      <c r="Y24" s="27">
        <v>329</v>
      </c>
    </row>
    <row r="25" spans="2:25" ht="18" customHeight="1">
      <c r="B25" s="268" t="s">
        <v>113</v>
      </c>
      <c r="C25" s="268"/>
      <c r="D25" s="49">
        <v>160</v>
      </c>
      <c r="E25" s="26">
        <v>361</v>
      </c>
      <c r="F25" s="27">
        <v>170</v>
      </c>
      <c r="G25" s="27">
        <v>191</v>
      </c>
      <c r="H25" s="23" t="s">
        <v>51</v>
      </c>
      <c r="I25" s="186" t="s">
        <v>117</v>
      </c>
      <c r="J25" s="27">
        <v>39</v>
      </c>
      <c r="K25" s="26">
        <v>68</v>
      </c>
      <c r="L25" s="27">
        <v>29</v>
      </c>
      <c r="M25" s="27">
        <v>39</v>
      </c>
      <c r="N25" s="264" t="s">
        <v>121</v>
      </c>
      <c r="O25" s="265"/>
      <c r="P25" s="49">
        <v>42</v>
      </c>
      <c r="Q25" s="185">
        <v>77</v>
      </c>
      <c r="R25" s="27">
        <v>51</v>
      </c>
      <c r="S25" s="27">
        <v>26</v>
      </c>
      <c r="T25" s="264" t="s">
        <v>476</v>
      </c>
      <c r="U25" s="268"/>
      <c r="V25" s="49">
        <v>320</v>
      </c>
      <c r="W25" s="185">
        <v>795</v>
      </c>
      <c r="X25" s="27">
        <v>402</v>
      </c>
      <c r="Y25" s="27">
        <v>393</v>
      </c>
    </row>
    <row r="26" spans="2:25" ht="18" customHeight="1">
      <c r="B26" s="268" t="s">
        <v>116</v>
      </c>
      <c r="C26" s="268"/>
      <c r="D26" s="49">
        <v>254</v>
      </c>
      <c r="E26" s="26">
        <v>606</v>
      </c>
      <c r="F26" s="27">
        <v>297</v>
      </c>
      <c r="G26" s="27">
        <v>309</v>
      </c>
      <c r="H26" s="264" t="s">
        <v>120</v>
      </c>
      <c r="I26" s="265"/>
      <c r="J26" s="27">
        <v>285</v>
      </c>
      <c r="K26" s="26">
        <v>530</v>
      </c>
      <c r="L26" s="27">
        <v>253</v>
      </c>
      <c r="M26" s="27">
        <v>277</v>
      </c>
      <c r="N26" s="264" t="s">
        <v>124</v>
      </c>
      <c r="O26" s="265"/>
      <c r="P26" s="49">
        <v>57</v>
      </c>
      <c r="Q26" s="185">
        <v>107</v>
      </c>
      <c r="R26" s="27">
        <v>68</v>
      </c>
      <c r="S26" s="27">
        <v>39</v>
      </c>
      <c r="T26" s="264" t="s">
        <v>477</v>
      </c>
      <c r="U26" s="268"/>
      <c r="V26" s="49">
        <v>341</v>
      </c>
      <c r="W26" s="185">
        <v>804</v>
      </c>
      <c r="X26" s="27">
        <v>387</v>
      </c>
      <c r="Y26" s="27">
        <v>417</v>
      </c>
    </row>
    <row r="27" spans="2:25" ht="18" customHeight="1">
      <c r="B27" s="268" t="s">
        <v>119</v>
      </c>
      <c r="C27" s="268"/>
      <c r="D27" s="49">
        <v>266</v>
      </c>
      <c r="E27" s="26">
        <v>576</v>
      </c>
      <c r="F27" s="27">
        <v>271</v>
      </c>
      <c r="G27" s="27">
        <v>305</v>
      </c>
      <c r="H27" s="264" t="s">
        <v>123</v>
      </c>
      <c r="I27" s="265"/>
      <c r="J27" s="27">
        <v>270</v>
      </c>
      <c r="K27" s="26">
        <v>600</v>
      </c>
      <c r="L27" s="27">
        <v>305</v>
      </c>
      <c r="M27" s="27">
        <v>295</v>
      </c>
      <c r="N27" s="23" t="s">
        <v>51</v>
      </c>
      <c r="O27" s="43" t="s">
        <v>15</v>
      </c>
      <c r="P27" s="49">
        <v>3718</v>
      </c>
      <c r="Q27" s="185">
        <v>7750</v>
      </c>
      <c r="R27" s="27">
        <v>3781</v>
      </c>
      <c r="S27" s="27">
        <v>3969</v>
      </c>
      <c r="T27" s="264" t="s">
        <v>478</v>
      </c>
      <c r="U27" s="268"/>
      <c r="V27" s="49">
        <v>305</v>
      </c>
      <c r="W27" s="185">
        <v>669</v>
      </c>
      <c r="X27" s="22">
        <v>317</v>
      </c>
      <c r="Y27" s="22">
        <v>352</v>
      </c>
    </row>
    <row r="28" spans="2:25" ht="18" customHeight="1">
      <c r="B28" s="268" t="s">
        <v>122</v>
      </c>
      <c r="C28" s="268"/>
      <c r="D28" s="49">
        <v>252</v>
      </c>
      <c r="E28" s="26">
        <v>543</v>
      </c>
      <c r="F28" s="27">
        <v>258</v>
      </c>
      <c r="G28" s="27">
        <v>285</v>
      </c>
      <c r="H28" s="264" t="s">
        <v>127</v>
      </c>
      <c r="I28" s="265"/>
      <c r="J28" s="27">
        <v>310</v>
      </c>
      <c r="K28" s="26">
        <v>688</v>
      </c>
      <c r="L28" s="27">
        <v>324</v>
      </c>
      <c r="M28" s="27">
        <v>364</v>
      </c>
      <c r="N28" s="264" t="s">
        <v>131</v>
      </c>
      <c r="O28" s="265"/>
      <c r="P28" s="49">
        <v>11</v>
      </c>
      <c r="Q28" s="185">
        <v>24</v>
      </c>
      <c r="R28" s="27">
        <v>16</v>
      </c>
      <c r="S28" s="27">
        <v>8</v>
      </c>
      <c r="T28" s="23" t="s">
        <v>51</v>
      </c>
      <c r="U28" s="24" t="s">
        <v>22</v>
      </c>
      <c r="V28" s="49">
        <v>1020</v>
      </c>
      <c r="W28" s="185">
        <v>1922</v>
      </c>
      <c r="X28" s="27">
        <v>875</v>
      </c>
      <c r="Y28" s="27">
        <v>1047</v>
      </c>
    </row>
    <row r="29" spans="2:25" ht="18" customHeight="1">
      <c r="B29" s="268" t="s">
        <v>126</v>
      </c>
      <c r="C29" s="268"/>
      <c r="D29" s="49">
        <v>270</v>
      </c>
      <c r="E29" s="26">
        <v>643</v>
      </c>
      <c r="F29" s="27">
        <v>316</v>
      </c>
      <c r="G29" s="27">
        <v>327</v>
      </c>
      <c r="H29" s="264" t="s">
        <v>130</v>
      </c>
      <c r="I29" s="265"/>
      <c r="J29" s="27">
        <v>301</v>
      </c>
      <c r="K29" s="26">
        <v>602</v>
      </c>
      <c r="L29" s="27">
        <v>286</v>
      </c>
      <c r="M29" s="27">
        <v>316</v>
      </c>
      <c r="N29" s="264" t="s">
        <v>135</v>
      </c>
      <c r="O29" s="265"/>
      <c r="P29" s="49">
        <v>222</v>
      </c>
      <c r="Q29" s="185">
        <v>477</v>
      </c>
      <c r="R29" s="27">
        <v>234</v>
      </c>
      <c r="S29" s="27">
        <v>243</v>
      </c>
      <c r="T29" s="23" t="s">
        <v>51</v>
      </c>
      <c r="U29" s="24" t="s">
        <v>125</v>
      </c>
      <c r="V29" s="49">
        <v>23</v>
      </c>
      <c r="W29" s="185">
        <v>34</v>
      </c>
      <c r="X29" s="27">
        <v>17</v>
      </c>
      <c r="Y29" s="27">
        <v>17</v>
      </c>
    </row>
    <row r="30" spans="2:25" ht="18" customHeight="1">
      <c r="B30" s="268" t="s">
        <v>129</v>
      </c>
      <c r="C30" s="268"/>
      <c r="D30" s="49">
        <v>221</v>
      </c>
      <c r="E30" s="26">
        <v>505</v>
      </c>
      <c r="F30" s="27">
        <v>240</v>
      </c>
      <c r="G30" s="27">
        <v>265</v>
      </c>
      <c r="H30" s="264" t="s">
        <v>134</v>
      </c>
      <c r="I30" s="265"/>
      <c r="J30" s="27">
        <v>509</v>
      </c>
      <c r="K30" s="26">
        <v>994</v>
      </c>
      <c r="L30" s="27">
        <v>493</v>
      </c>
      <c r="M30" s="27">
        <v>501</v>
      </c>
      <c r="N30" s="264" t="s">
        <v>139</v>
      </c>
      <c r="O30" s="265"/>
      <c r="P30" s="49">
        <v>391</v>
      </c>
      <c r="Q30" s="185">
        <v>822</v>
      </c>
      <c r="R30" s="27">
        <v>410</v>
      </c>
      <c r="S30" s="27">
        <v>412</v>
      </c>
      <c r="T30" s="23" t="s">
        <v>51</v>
      </c>
      <c r="U30" s="24" t="s">
        <v>128</v>
      </c>
      <c r="V30" s="49">
        <v>139</v>
      </c>
      <c r="W30" s="185">
        <v>266</v>
      </c>
      <c r="X30" s="27">
        <v>115</v>
      </c>
      <c r="Y30" s="27">
        <v>151</v>
      </c>
    </row>
    <row r="31" spans="2:25" ht="18" customHeight="1">
      <c r="B31" s="268" t="s">
        <v>133</v>
      </c>
      <c r="C31" s="268"/>
      <c r="D31" s="49">
        <v>203</v>
      </c>
      <c r="E31" s="26">
        <v>408</v>
      </c>
      <c r="F31" s="27">
        <v>209</v>
      </c>
      <c r="G31" s="27">
        <v>199</v>
      </c>
      <c r="H31" s="264" t="s">
        <v>138</v>
      </c>
      <c r="I31" s="265"/>
      <c r="J31" s="27">
        <v>150</v>
      </c>
      <c r="K31" s="26">
        <v>293</v>
      </c>
      <c r="L31" s="27">
        <v>150</v>
      </c>
      <c r="M31" s="27">
        <v>143</v>
      </c>
      <c r="N31" s="264" t="s">
        <v>143</v>
      </c>
      <c r="O31" s="265"/>
      <c r="P31" s="49">
        <v>204</v>
      </c>
      <c r="Q31" s="185">
        <v>420</v>
      </c>
      <c r="R31" s="27">
        <v>197</v>
      </c>
      <c r="S31" s="27">
        <v>223</v>
      </c>
      <c r="T31" s="23" t="s">
        <v>51</v>
      </c>
      <c r="U31" s="24" t="s">
        <v>132</v>
      </c>
      <c r="V31" s="49">
        <v>108</v>
      </c>
      <c r="W31" s="185">
        <v>211</v>
      </c>
      <c r="X31" s="27">
        <v>106</v>
      </c>
      <c r="Y31" s="27">
        <v>105</v>
      </c>
    </row>
    <row r="32" spans="2:25" ht="18" customHeight="1">
      <c r="B32" s="268" t="s">
        <v>137</v>
      </c>
      <c r="C32" s="268"/>
      <c r="D32" s="49">
        <v>309</v>
      </c>
      <c r="E32" s="26">
        <v>521</v>
      </c>
      <c r="F32" s="27">
        <v>239</v>
      </c>
      <c r="G32" s="27">
        <v>282</v>
      </c>
      <c r="H32" s="264" t="s">
        <v>142</v>
      </c>
      <c r="I32" s="265"/>
      <c r="J32" s="27">
        <v>353</v>
      </c>
      <c r="K32" s="26">
        <v>687</v>
      </c>
      <c r="L32" s="27">
        <v>322</v>
      </c>
      <c r="M32" s="27">
        <v>365</v>
      </c>
      <c r="N32" s="264" t="s">
        <v>147</v>
      </c>
      <c r="O32" s="265"/>
      <c r="P32" s="49">
        <v>215</v>
      </c>
      <c r="Q32" s="185">
        <v>485</v>
      </c>
      <c r="R32" s="27">
        <v>237</v>
      </c>
      <c r="S32" s="27">
        <v>248</v>
      </c>
      <c r="T32" s="23" t="s">
        <v>51</v>
      </c>
      <c r="U32" s="24" t="s">
        <v>136</v>
      </c>
      <c r="V32" s="49">
        <v>60</v>
      </c>
      <c r="W32" s="185">
        <v>103</v>
      </c>
      <c r="X32" s="27">
        <v>48</v>
      </c>
      <c r="Y32" s="27">
        <v>55</v>
      </c>
    </row>
    <row r="33" spans="2:25" ht="18" customHeight="1">
      <c r="B33" s="268" t="s">
        <v>141</v>
      </c>
      <c r="C33" s="268"/>
      <c r="D33" s="49">
        <v>342</v>
      </c>
      <c r="E33" s="26">
        <v>666</v>
      </c>
      <c r="F33" s="27">
        <v>296</v>
      </c>
      <c r="G33" s="27">
        <v>370</v>
      </c>
      <c r="H33" s="264" t="s">
        <v>146</v>
      </c>
      <c r="I33" s="265"/>
      <c r="J33" s="27">
        <v>277</v>
      </c>
      <c r="K33" s="26">
        <v>559</v>
      </c>
      <c r="L33" s="27">
        <v>256</v>
      </c>
      <c r="M33" s="27">
        <v>303</v>
      </c>
      <c r="N33" s="23" t="s">
        <v>51</v>
      </c>
      <c r="O33" s="43" t="s">
        <v>16</v>
      </c>
      <c r="P33" s="49">
        <v>62</v>
      </c>
      <c r="Q33" s="185">
        <v>85</v>
      </c>
      <c r="R33" s="27">
        <v>38</v>
      </c>
      <c r="S33" s="27">
        <v>47</v>
      </c>
      <c r="T33" s="23" t="s">
        <v>51</v>
      </c>
      <c r="U33" s="24" t="s">
        <v>140</v>
      </c>
      <c r="V33" s="49">
        <v>370</v>
      </c>
      <c r="W33" s="185">
        <v>750</v>
      </c>
      <c r="X33" s="27">
        <v>364</v>
      </c>
      <c r="Y33" s="27">
        <v>386</v>
      </c>
    </row>
    <row r="34" spans="2:25" ht="18" customHeight="1">
      <c r="B34" s="268" t="s">
        <v>145</v>
      </c>
      <c r="C34" s="268"/>
      <c r="D34" s="49">
        <v>181</v>
      </c>
      <c r="E34" s="26">
        <v>398</v>
      </c>
      <c r="F34" s="27">
        <v>186</v>
      </c>
      <c r="G34" s="27">
        <v>212</v>
      </c>
      <c r="H34" s="264" t="s">
        <v>150</v>
      </c>
      <c r="I34" s="265"/>
      <c r="J34" s="27">
        <v>211</v>
      </c>
      <c r="K34" s="26">
        <v>450</v>
      </c>
      <c r="L34" s="27">
        <v>216</v>
      </c>
      <c r="M34" s="27">
        <v>234</v>
      </c>
      <c r="N34" s="23" t="s">
        <v>51</v>
      </c>
      <c r="O34" s="43" t="s">
        <v>17</v>
      </c>
      <c r="P34" s="49">
        <v>661</v>
      </c>
      <c r="Q34" s="185">
        <v>1157</v>
      </c>
      <c r="R34" s="27">
        <v>553</v>
      </c>
      <c r="S34" s="27">
        <v>604</v>
      </c>
      <c r="T34" s="23" t="s">
        <v>51</v>
      </c>
      <c r="U34" s="24" t="s">
        <v>144</v>
      </c>
      <c r="V34" s="49">
        <v>438</v>
      </c>
      <c r="W34" s="185">
        <v>937</v>
      </c>
      <c r="X34" s="27">
        <v>459</v>
      </c>
      <c r="Y34" s="27">
        <v>478</v>
      </c>
    </row>
    <row r="35" spans="2:25" ht="18" customHeight="1">
      <c r="B35" s="268" t="s">
        <v>149</v>
      </c>
      <c r="C35" s="268"/>
      <c r="D35" s="49">
        <v>280</v>
      </c>
      <c r="E35" s="26">
        <v>561</v>
      </c>
      <c r="F35" s="27">
        <v>256</v>
      </c>
      <c r="G35" s="27">
        <v>305</v>
      </c>
      <c r="H35" s="264" t="s">
        <v>153</v>
      </c>
      <c r="I35" s="265"/>
      <c r="J35" s="27">
        <v>243</v>
      </c>
      <c r="K35" s="26">
        <v>596</v>
      </c>
      <c r="L35" s="27">
        <v>284</v>
      </c>
      <c r="M35" s="27">
        <v>312</v>
      </c>
      <c r="N35" s="23" t="s">
        <v>51</v>
      </c>
      <c r="O35" s="43" t="s">
        <v>156</v>
      </c>
      <c r="P35" s="49">
        <v>1312</v>
      </c>
      <c r="Q35" s="185">
        <v>2588</v>
      </c>
      <c r="R35" s="27">
        <v>1319</v>
      </c>
      <c r="S35" s="27">
        <v>1269</v>
      </c>
      <c r="T35" s="23" t="s">
        <v>51</v>
      </c>
      <c r="U35" s="24" t="s">
        <v>148</v>
      </c>
      <c r="V35" s="49">
        <v>402</v>
      </c>
      <c r="W35" s="185">
        <v>827</v>
      </c>
      <c r="X35" s="27">
        <v>404</v>
      </c>
      <c r="Y35" s="27">
        <v>423</v>
      </c>
    </row>
    <row r="36" spans="2:25" ht="18" customHeight="1">
      <c r="B36" s="268" t="s">
        <v>152</v>
      </c>
      <c r="C36" s="268"/>
      <c r="D36" s="23">
        <v>150</v>
      </c>
      <c r="E36" s="26">
        <v>325</v>
      </c>
      <c r="F36" s="19">
        <v>151</v>
      </c>
      <c r="G36" s="19">
        <v>174</v>
      </c>
      <c r="H36" s="264" t="s">
        <v>155</v>
      </c>
      <c r="I36" s="265"/>
      <c r="J36" s="27">
        <v>264</v>
      </c>
      <c r="K36" s="26">
        <v>553</v>
      </c>
      <c r="L36" s="27">
        <v>283</v>
      </c>
      <c r="M36" s="27">
        <v>270</v>
      </c>
      <c r="N36" s="23" t="s">
        <v>51</v>
      </c>
      <c r="O36" s="43" t="s">
        <v>486</v>
      </c>
      <c r="P36" s="49">
        <v>5624</v>
      </c>
      <c r="Q36" s="185">
        <v>11295</v>
      </c>
      <c r="R36" s="27">
        <v>5769</v>
      </c>
      <c r="S36" s="27">
        <v>5526</v>
      </c>
      <c r="T36" s="23" t="s">
        <v>51</v>
      </c>
      <c r="U36" s="24" t="s">
        <v>151</v>
      </c>
      <c r="V36" s="49">
        <v>2231</v>
      </c>
      <c r="W36" s="185">
        <v>4376</v>
      </c>
      <c r="X36" s="27">
        <v>2030</v>
      </c>
      <c r="Y36" s="27">
        <v>2346</v>
      </c>
    </row>
    <row r="37" spans="2:25" ht="18" customHeight="1">
      <c r="B37" s="268" t="s">
        <v>25</v>
      </c>
      <c r="C37" s="268"/>
      <c r="D37" s="23">
        <v>169</v>
      </c>
      <c r="E37" s="26">
        <v>315</v>
      </c>
      <c r="F37" s="19">
        <v>143</v>
      </c>
      <c r="G37" s="44">
        <v>172</v>
      </c>
      <c r="H37" s="264" t="s">
        <v>479</v>
      </c>
      <c r="I37" s="265"/>
      <c r="J37" s="27">
        <v>188</v>
      </c>
      <c r="K37" s="26">
        <v>347</v>
      </c>
      <c r="L37" s="27">
        <v>161</v>
      </c>
      <c r="M37" s="27">
        <v>186</v>
      </c>
      <c r="N37" s="23" t="s">
        <v>51</v>
      </c>
      <c r="O37" s="43" t="s">
        <v>487</v>
      </c>
      <c r="P37" s="49">
        <v>931</v>
      </c>
      <c r="Q37" s="185">
        <v>2046</v>
      </c>
      <c r="R37" s="27">
        <v>999</v>
      </c>
      <c r="S37" s="27">
        <v>1047</v>
      </c>
      <c r="T37" s="23" t="s">
        <v>51</v>
      </c>
      <c r="U37" s="24" t="s">
        <v>154</v>
      </c>
      <c r="V37" s="49">
        <v>191</v>
      </c>
      <c r="W37" s="185">
        <v>397</v>
      </c>
      <c r="X37" s="27">
        <v>196</v>
      </c>
      <c r="Y37" s="27">
        <v>201</v>
      </c>
    </row>
    <row r="38" spans="2:25" ht="18" customHeight="1" thickBot="1">
      <c r="B38" s="272" t="s">
        <v>50</v>
      </c>
      <c r="C38" s="272"/>
      <c r="D38" s="28">
        <v>230</v>
      </c>
      <c r="E38" s="187">
        <v>439</v>
      </c>
      <c r="F38" s="29">
        <v>206</v>
      </c>
      <c r="G38" s="50">
        <v>233</v>
      </c>
      <c r="H38" s="273" t="s">
        <v>480</v>
      </c>
      <c r="I38" s="274"/>
      <c r="J38" s="30">
        <v>150</v>
      </c>
      <c r="K38" s="187">
        <v>259</v>
      </c>
      <c r="L38" s="30">
        <v>133</v>
      </c>
      <c r="M38" s="30">
        <v>126</v>
      </c>
      <c r="N38" s="28" t="s">
        <v>51</v>
      </c>
      <c r="O38" s="122" t="s">
        <v>488</v>
      </c>
      <c r="P38" s="188">
        <v>1040</v>
      </c>
      <c r="Q38" s="189">
        <v>2046</v>
      </c>
      <c r="R38" s="30">
        <v>1047</v>
      </c>
      <c r="S38" s="30">
        <v>999</v>
      </c>
      <c r="T38" s="28"/>
      <c r="U38" s="29"/>
      <c r="V38" s="188"/>
      <c r="W38" s="190"/>
      <c r="X38" s="30"/>
      <c r="Y38" s="30"/>
    </row>
    <row r="39" spans="2:25" ht="18" customHeight="1">
      <c r="B39" s="2" t="s">
        <v>157</v>
      </c>
    </row>
    <row r="41" spans="2: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2:25" ht="13.5">
      <c r="B42" s="19"/>
      <c r="C42" s="19"/>
      <c r="D42" s="31"/>
      <c r="E42" s="31"/>
      <c r="F42" s="31"/>
      <c r="G42" s="31"/>
      <c r="H42" s="19"/>
      <c r="I42" s="31"/>
      <c r="J42" s="31"/>
      <c r="K42" s="31"/>
      <c r="L42" s="31"/>
      <c r="M42" s="19"/>
      <c r="V42" s="191"/>
    </row>
    <row r="43" spans="2:25">
      <c r="B43" s="19"/>
      <c r="C43" s="19"/>
      <c r="D43" s="27"/>
      <c r="E43" s="27"/>
      <c r="F43" s="27"/>
      <c r="G43" s="27"/>
      <c r="H43" s="19"/>
      <c r="I43" s="27"/>
      <c r="J43" s="27"/>
      <c r="K43" s="27"/>
      <c r="L43" s="27"/>
      <c r="M43" s="19"/>
    </row>
    <row r="44" spans="2:25">
      <c r="B44" s="19"/>
      <c r="C44" s="19"/>
      <c r="D44" s="27"/>
      <c r="E44" s="27"/>
      <c r="F44" s="27"/>
      <c r="G44" s="27"/>
      <c r="H44" s="19"/>
    </row>
    <row r="45" spans="2:25">
      <c r="B45" s="19"/>
      <c r="C45" s="19"/>
      <c r="D45" s="27"/>
      <c r="E45" s="27"/>
      <c r="F45" s="27"/>
      <c r="G45" s="27"/>
      <c r="H45" s="19"/>
      <c r="I45" s="27"/>
      <c r="J45" s="27"/>
      <c r="K45" s="27"/>
      <c r="L45" s="27"/>
      <c r="M45" s="19"/>
      <c r="V45" s="192"/>
    </row>
    <row r="46" spans="2:25">
      <c r="B46" s="19"/>
      <c r="C46" s="19"/>
      <c r="D46" s="27"/>
      <c r="E46" s="27"/>
      <c r="F46" s="27"/>
      <c r="G46" s="27"/>
      <c r="H46" s="19"/>
      <c r="I46" s="27"/>
      <c r="J46" s="27"/>
      <c r="K46" s="27"/>
      <c r="L46" s="27"/>
      <c r="M46" s="19"/>
    </row>
    <row r="47" spans="2:25">
      <c r="B47" s="19"/>
      <c r="C47" s="19"/>
      <c r="D47" s="27"/>
      <c r="E47" s="27"/>
      <c r="F47" s="27"/>
      <c r="G47" s="27"/>
      <c r="H47" s="19"/>
      <c r="I47" s="27"/>
      <c r="J47" s="27"/>
      <c r="K47" s="27"/>
      <c r="L47" s="27"/>
      <c r="M47" s="19"/>
      <c r="V47" s="192"/>
    </row>
    <row r="48" spans="2:25">
      <c r="B48" s="19"/>
      <c r="C48" s="19"/>
      <c r="D48" s="27"/>
      <c r="E48" s="27"/>
      <c r="F48" s="27"/>
      <c r="G48" s="27"/>
      <c r="H48" s="19"/>
      <c r="I48" s="27"/>
      <c r="J48" s="27"/>
      <c r="K48" s="27"/>
      <c r="L48" s="27"/>
      <c r="M48" s="19"/>
      <c r="V48" s="192"/>
    </row>
    <row r="49" spans="2:22">
      <c r="B49" s="19"/>
      <c r="C49" s="19"/>
      <c r="D49" s="27"/>
      <c r="E49" s="27"/>
      <c r="F49" s="27"/>
      <c r="G49" s="27"/>
      <c r="H49" s="19"/>
      <c r="I49" s="27"/>
      <c r="J49" s="27"/>
      <c r="K49" s="27"/>
      <c r="L49" s="27"/>
      <c r="M49" s="19"/>
      <c r="V49" s="192"/>
    </row>
    <row r="50" spans="2:22">
      <c r="B50" s="19"/>
      <c r="C50" s="19"/>
      <c r="D50" s="27"/>
      <c r="E50" s="27"/>
      <c r="F50" s="27"/>
      <c r="G50" s="27"/>
      <c r="H50" s="19"/>
      <c r="I50" s="27"/>
      <c r="J50" s="27"/>
      <c r="K50" s="27"/>
      <c r="L50" s="27"/>
      <c r="M50" s="19"/>
      <c r="V50" s="62"/>
    </row>
    <row r="51" spans="2:2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2:22">
      <c r="V52" s="192"/>
    </row>
  </sheetData>
  <mergeCells count="110">
    <mergeCell ref="J2:P2"/>
    <mergeCell ref="N14:O14"/>
    <mergeCell ref="N15:O15"/>
    <mergeCell ref="N10:O10"/>
    <mergeCell ref="N11:O11"/>
    <mergeCell ref="N13:O13"/>
    <mergeCell ref="N4:O4"/>
    <mergeCell ref="N7:O7"/>
    <mergeCell ref="T25:U25"/>
    <mergeCell ref="N21:O21"/>
    <mergeCell ref="N25:O25"/>
    <mergeCell ref="N12:O12"/>
    <mergeCell ref="B4:C4"/>
    <mergeCell ref="H4:I4"/>
    <mergeCell ref="B11:C11"/>
    <mergeCell ref="B12:C12"/>
    <mergeCell ref="H12:I12"/>
    <mergeCell ref="H11:I11"/>
    <mergeCell ref="T8:U8"/>
    <mergeCell ref="T9:U9"/>
    <mergeCell ref="N17:O17"/>
    <mergeCell ref="N16:O16"/>
    <mergeCell ref="N22:O22"/>
    <mergeCell ref="N18:O18"/>
    <mergeCell ref="N19:O19"/>
    <mergeCell ref="T13:U13"/>
    <mergeCell ref="T14:U14"/>
    <mergeCell ref="T24:U24"/>
    <mergeCell ref="T17:U17"/>
    <mergeCell ref="T16:U16"/>
    <mergeCell ref="T15:U15"/>
    <mergeCell ref="N26:O26"/>
    <mergeCell ref="N31:O31"/>
    <mergeCell ref="N28:O28"/>
    <mergeCell ref="N29:O29"/>
    <mergeCell ref="N23:O23"/>
    <mergeCell ref="N20:O20"/>
    <mergeCell ref="B33:C33"/>
    <mergeCell ref="B27:C27"/>
    <mergeCell ref="B28:C28"/>
    <mergeCell ref="B29:C29"/>
    <mergeCell ref="B30:C30"/>
    <mergeCell ref="B31:C31"/>
    <mergeCell ref="B32:C32"/>
    <mergeCell ref="B35:C35"/>
    <mergeCell ref="B34:C34"/>
    <mergeCell ref="B15:C15"/>
    <mergeCell ref="H15:I15"/>
    <mergeCell ref="B16:C16"/>
    <mergeCell ref="B17:C17"/>
    <mergeCell ref="H17:I17"/>
    <mergeCell ref="H21:I21"/>
    <mergeCell ref="H20:I20"/>
    <mergeCell ref="H19:I19"/>
    <mergeCell ref="B25:C25"/>
    <mergeCell ref="B21:C21"/>
    <mergeCell ref="B22:C22"/>
    <mergeCell ref="B38:C38"/>
    <mergeCell ref="H38:I38"/>
    <mergeCell ref="H35:I35"/>
    <mergeCell ref="B37:C37"/>
    <mergeCell ref="H36:I36"/>
    <mergeCell ref="H37:I37"/>
    <mergeCell ref="B36:C36"/>
    <mergeCell ref="W3:Y3"/>
    <mergeCell ref="B18:C18"/>
    <mergeCell ref="H13:I13"/>
    <mergeCell ref="B13:C13"/>
    <mergeCell ref="B14:C14"/>
    <mergeCell ref="B19:C19"/>
    <mergeCell ref="T10:U10"/>
    <mergeCell ref="T11:U11"/>
    <mergeCell ref="T4:U4"/>
    <mergeCell ref="T12:U12"/>
    <mergeCell ref="H34:I34"/>
    <mergeCell ref="H33:I33"/>
    <mergeCell ref="H32:I32"/>
    <mergeCell ref="H31:I31"/>
    <mergeCell ref="H24:I24"/>
    <mergeCell ref="H14:I14"/>
    <mergeCell ref="H22:I22"/>
    <mergeCell ref="H16:I16"/>
    <mergeCell ref="H18:I18"/>
    <mergeCell ref="H23:I23"/>
    <mergeCell ref="N32:O32"/>
    <mergeCell ref="N24:O24"/>
    <mergeCell ref="N30:O30"/>
    <mergeCell ref="B10:C10"/>
    <mergeCell ref="H9:I9"/>
    <mergeCell ref="H8:I8"/>
    <mergeCell ref="B20:C20"/>
    <mergeCell ref="B26:C26"/>
    <mergeCell ref="B23:C23"/>
    <mergeCell ref="B24:C24"/>
    <mergeCell ref="H6:I6"/>
    <mergeCell ref="N8:O8"/>
    <mergeCell ref="N9:O9"/>
    <mergeCell ref="H10:I10"/>
    <mergeCell ref="H7:I7"/>
    <mergeCell ref="N6:O6"/>
    <mergeCell ref="T7:U7"/>
    <mergeCell ref="T6:U6"/>
    <mergeCell ref="B6:C7"/>
    <mergeCell ref="T26:U26"/>
    <mergeCell ref="H30:I30"/>
    <mergeCell ref="H29:I29"/>
    <mergeCell ref="H28:I28"/>
    <mergeCell ref="H27:I27"/>
    <mergeCell ref="H26:I26"/>
    <mergeCell ref="T27:U27"/>
  </mergeCells>
  <phoneticPr fontId="2"/>
  <pageMargins left="0.78740157480314965" right="0.39370078740157483" top="0.98425196850393704" bottom="0.98425196850393704" header="0.51181102362204722" footer="0.51181102362204722"/>
  <pageSetup paperSize="8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B1:BA56"/>
  <sheetViews>
    <sheetView showGridLines="0" topLeftCell="B1" zoomScaleNormal="100" zoomScaleSheetLayoutView="100" workbookViewId="0">
      <pane xSplit="2" ySplit="4" topLeftCell="D5" activePane="bottomRight" state="frozen"/>
      <selection activeCell="J45" sqref="J45"/>
      <selection pane="topRight" activeCell="J45" sqref="J45"/>
      <selection pane="bottomLeft" activeCell="J45" sqref="J45"/>
      <selection pane="bottomRight" activeCell="B1" sqref="B1"/>
    </sheetView>
  </sheetViews>
  <sheetFormatPr defaultRowHeight="12.75"/>
  <cols>
    <col min="1" max="1" width="5" style="22" customWidth="1"/>
    <col min="2" max="2" width="2.625" style="22" customWidth="1"/>
    <col min="3" max="3" width="10" style="22" customWidth="1"/>
    <col min="4" max="4" width="8.5" style="22" bestFit="1" customWidth="1"/>
    <col min="5" max="5" width="9.375" style="22" bestFit="1" customWidth="1"/>
    <col min="6" max="7" width="8.5" style="22" bestFit="1" customWidth="1"/>
    <col min="8" max="8" width="2.25" style="22" customWidth="1"/>
    <col min="9" max="9" width="10.375" style="22" customWidth="1"/>
    <col min="10" max="10" width="7.625" style="22" bestFit="1" customWidth="1"/>
    <col min="11" max="11" width="7.625" style="22" customWidth="1"/>
    <col min="12" max="13" width="7.625" style="22" bestFit="1" customWidth="1"/>
    <col min="14" max="14" width="2.75" style="22" customWidth="1"/>
    <col min="15" max="15" width="10.875" style="22" customWidth="1"/>
    <col min="16" max="16" width="7.625" style="22" bestFit="1" customWidth="1"/>
    <col min="17" max="17" width="7.625" style="22" customWidth="1"/>
    <col min="18" max="19" width="7.625" style="22" bestFit="1" customWidth="1"/>
    <col min="20" max="20" width="2.75" style="22" customWidth="1"/>
    <col min="21" max="21" width="11.5" style="22" customWidth="1"/>
    <col min="22" max="22" width="7.625" style="22" bestFit="1" customWidth="1"/>
    <col min="23" max="23" width="8.5" style="22" bestFit="1" customWidth="1"/>
    <col min="24" max="25" width="7.625" style="22" bestFit="1" customWidth="1"/>
    <col min="26" max="26" width="7.625" style="22" customWidth="1"/>
    <col min="27" max="27" width="5" style="22" customWidth="1"/>
    <col min="28" max="28" width="2.75" style="22" customWidth="1"/>
    <col min="29" max="29" width="10.875" style="22" customWidth="1"/>
    <col min="30" max="30" width="7.625" style="22" bestFit="1" customWidth="1"/>
    <col min="31" max="31" width="8.5" style="22" bestFit="1" customWidth="1"/>
    <col min="32" max="33" width="7.625" style="22" bestFit="1" customWidth="1"/>
    <col min="34" max="34" width="2.75" style="22" customWidth="1"/>
    <col min="35" max="35" width="10.875" style="22" customWidth="1"/>
    <col min="36" max="36" width="7.625" style="22" bestFit="1" customWidth="1"/>
    <col min="37" max="37" width="7.625" style="22" customWidth="1"/>
    <col min="38" max="39" width="7.625" style="22" bestFit="1" customWidth="1"/>
    <col min="40" max="40" width="2.75" style="22" customWidth="1"/>
    <col min="41" max="41" width="10.875" style="22" customWidth="1"/>
    <col min="42" max="42" width="7.625" style="22" bestFit="1" customWidth="1"/>
    <col min="43" max="43" width="7.625" style="22" customWidth="1"/>
    <col min="44" max="45" width="7.625" style="22" bestFit="1" customWidth="1"/>
    <col min="46" max="46" width="2.75" style="22" customWidth="1"/>
    <col min="47" max="47" width="10.875" style="22" customWidth="1"/>
    <col min="48" max="48" width="7.625" style="22" bestFit="1" customWidth="1"/>
    <col min="49" max="49" width="7.625" style="22" customWidth="1"/>
    <col min="50" max="51" width="7.625" style="22" bestFit="1" customWidth="1"/>
    <col min="52" max="16384" width="9" style="22"/>
  </cols>
  <sheetData>
    <row r="1" spans="2:53" ht="13.5" customHeight="1"/>
    <row r="2" spans="2:53" ht="18" customHeight="1">
      <c r="B2" s="51"/>
      <c r="C2" s="51"/>
      <c r="E2" s="89"/>
      <c r="F2" s="89"/>
      <c r="G2" s="89"/>
      <c r="H2" s="89"/>
      <c r="I2" s="89"/>
      <c r="J2" s="124" t="s">
        <v>559</v>
      </c>
      <c r="K2" s="276" t="s">
        <v>564</v>
      </c>
      <c r="L2" s="276"/>
      <c r="M2" s="276"/>
      <c r="N2" s="276"/>
      <c r="O2" s="276"/>
      <c r="P2" s="276"/>
      <c r="Q2" s="276"/>
      <c r="R2" s="51"/>
      <c r="S2" s="51"/>
      <c r="T2" s="51"/>
      <c r="U2" s="51"/>
      <c r="V2" s="51"/>
      <c r="W2" s="51"/>
      <c r="X2" s="51"/>
      <c r="Y2" s="51"/>
      <c r="Z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2:53" ht="18" customHeight="1" thickBot="1">
      <c r="W3" s="269" t="s">
        <v>583</v>
      </c>
      <c r="X3" s="269"/>
      <c r="Y3" s="269"/>
      <c r="Z3" s="92"/>
      <c r="AB3" s="286" t="s">
        <v>429</v>
      </c>
      <c r="AC3" s="286"/>
      <c r="AW3" s="269" t="s">
        <v>583</v>
      </c>
      <c r="AX3" s="269"/>
      <c r="AY3" s="269"/>
    </row>
    <row r="4" spans="2:53" ht="18" customHeight="1">
      <c r="B4" s="288" t="s">
        <v>158</v>
      </c>
      <c r="C4" s="285"/>
      <c r="D4" s="52" t="s">
        <v>29</v>
      </c>
      <c r="E4" s="53" t="s">
        <v>49</v>
      </c>
      <c r="F4" s="53" t="s">
        <v>34</v>
      </c>
      <c r="G4" s="53" t="s">
        <v>35</v>
      </c>
      <c r="H4" s="284" t="s">
        <v>158</v>
      </c>
      <c r="I4" s="285"/>
      <c r="J4" s="52" t="s">
        <v>29</v>
      </c>
      <c r="K4" s="53" t="s">
        <v>49</v>
      </c>
      <c r="L4" s="53" t="s">
        <v>34</v>
      </c>
      <c r="M4" s="53" t="s">
        <v>35</v>
      </c>
      <c r="N4" s="284" t="s">
        <v>158</v>
      </c>
      <c r="O4" s="285"/>
      <c r="P4" s="52" t="s">
        <v>29</v>
      </c>
      <c r="Q4" s="53" t="s">
        <v>49</v>
      </c>
      <c r="R4" s="53" t="s">
        <v>34</v>
      </c>
      <c r="S4" s="53" t="s">
        <v>35</v>
      </c>
      <c r="T4" s="284" t="s">
        <v>158</v>
      </c>
      <c r="U4" s="285"/>
      <c r="V4" s="52" t="s">
        <v>29</v>
      </c>
      <c r="W4" s="53" t="s">
        <v>49</v>
      </c>
      <c r="X4" s="53" t="s">
        <v>34</v>
      </c>
      <c r="Y4" s="53" t="s">
        <v>35</v>
      </c>
      <c r="Z4" s="24"/>
      <c r="AB4" s="284" t="s">
        <v>158</v>
      </c>
      <c r="AC4" s="285"/>
      <c r="AD4" s="52" t="s">
        <v>29</v>
      </c>
      <c r="AE4" s="53" t="s">
        <v>49</v>
      </c>
      <c r="AF4" s="53" t="s">
        <v>34</v>
      </c>
      <c r="AG4" s="53" t="s">
        <v>35</v>
      </c>
      <c r="AH4" s="284" t="s">
        <v>158</v>
      </c>
      <c r="AI4" s="285"/>
      <c r="AJ4" s="52" t="s">
        <v>29</v>
      </c>
      <c r="AK4" s="53" t="s">
        <v>49</v>
      </c>
      <c r="AL4" s="53" t="s">
        <v>34</v>
      </c>
      <c r="AM4" s="53" t="s">
        <v>35</v>
      </c>
      <c r="AN4" s="284" t="s">
        <v>158</v>
      </c>
      <c r="AO4" s="285"/>
      <c r="AP4" s="52" t="s">
        <v>29</v>
      </c>
      <c r="AQ4" s="53" t="s">
        <v>49</v>
      </c>
      <c r="AR4" s="53" t="s">
        <v>34</v>
      </c>
      <c r="AS4" s="53" t="s">
        <v>35</v>
      </c>
      <c r="AT4" s="284" t="s">
        <v>158</v>
      </c>
      <c r="AU4" s="285"/>
      <c r="AV4" s="52" t="s">
        <v>29</v>
      </c>
      <c r="AW4" s="53" t="s">
        <v>49</v>
      </c>
      <c r="AX4" s="53" t="s">
        <v>34</v>
      </c>
      <c r="AY4" s="54" t="s">
        <v>35</v>
      </c>
    </row>
    <row r="5" spans="2:53" s="57" customFormat="1" ht="15.95" customHeight="1">
      <c r="B5" s="280" t="s">
        <v>33</v>
      </c>
      <c r="C5" s="281"/>
      <c r="D5" s="193">
        <f>D8+D38+J24+J39+P9+P29+P44+V5+V16+V43+AD27+AD41+AJ22+AJ41+AP15+AV8</f>
        <v>56409</v>
      </c>
      <c r="E5" s="194">
        <f>E8+E38+K24+K39+Q9+Q29+Q44+W5+W16+W43+AE27+AE41+AK22+AK41+AQ15+AW8</f>
        <v>115603</v>
      </c>
      <c r="F5" s="194">
        <f>F8+F38+L24+L39+R9+R29+R44+X5+X16+X43+AF27+AF41+AL22+AL41+AR15+AX8</f>
        <v>55980</v>
      </c>
      <c r="G5" s="195">
        <f>G8+G38+M24+M39+S9+S29+S44+Y5+Y16+Y43+AG27+AG41+AM22+AM41+AS15+AY8</f>
        <v>59623</v>
      </c>
      <c r="H5" s="56"/>
      <c r="I5" s="43" t="s">
        <v>166</v>
      </c>
      <c r="J5" s="196">
        <f>84+87+49+123+18+36</f>
        <v>397</v>
      </c>
      <c r="K5" s="27">
        <f>167+156+90+263+27+81</f>
        <v>784</v>
      </c>
      <c r="L5" s="27">
        <f>87+62+42+129+12+36</f>
        <v>368</v>
      </c>
      <c r="M5" s="27">
        <f>80+94+48+134+15+45</f>
        <v>416</v>
      </c>
      <c r="N5" s="56"/>
      <c r="O5" s="43" t="s">
        <v>411</v>
      </c>
      <c r="P5" s="27">
        <v>42</v>
      </c>
      <c r="Q5" s="27">
        <v>77</v>
      </c>
      <c r="R5" s="27">
        <v>51</v>
      </c>
      <c r="S5" s="197">
        <v>26</v>
      </c>
      <c r="T5" s="264" t="s">
        <v>412</v>
      </c>
      <c r="U5" s="265"/>
      <c r="V5" s="26">
        <f>SUM(V7:V13)</f>
        <v>661</v>
      </c>
      <c r="W5" s="26">
        <f>SUM(W7:W13)</f>
        <v>1157</v>
      </c>
      <c r="X5" s="26">
        <f>SUM(X7:X13)</f>
        <v>553</v>
      </c>
      <c r="Y5" s="26">
        <f>SUM(Y7:Y13)</f>
        <v>604</v>
      </c>
      <c r="Z5" s="55"/>
      <c r="AB5" s="58"/>
      <c r="AC5" s="144" t="s">
        <v>415</v>
      </c>
      <c r="AD5" s="198">
        <f>43+1+40</f>
        <v>84</v>
      </c>
      <c r="AE5" s="198">
        <f>97+1+59</f>
        <v>157</v>
      </c>
      <c r="AF5" s="198">
        <f>51+0+34</f>
        <v>85</v>
      </c>
      <c r="AG5" s="199">
        <f>46+1+25</f>
        <v>72</v>
      </c>
      <c r="AH5" s="58"/>
      <c r="AI5" s="144" t="s">
        <v>26</v>
      </c>
      <c r="AJ5" s="198">
        <v>26</v>
      </c>
      <c r="AK5" s="198">
        <v>37</v>
      </c>
      <c r="AL5" s="198">
        <v>22</v>
      </c>
      <c r="AM5" s="199">
        <v>15</v>
      </c>
      <c r="AN5" s="58"/>
      <c r="AO5" s="43" t="s">
        <v>406</v>
      </c>
      <c r="AP5" s="57">
        <v>47</v>
      </c>
      <c r="AQ5" s="27">
        <v>80</v>
      </c>
      <c r="AR5" s="57">
        <v>33</v>
      </c>
      <c r="AS5" s="57">
        <v>47</v>
      </c>
      <c r="AT5" s="56"/>
      <c r="AU5" s="43" t="s">
        <v>305</v>
      </c>
      <c r="AV5" s="200">
        <v>100</v>
      </c>
      <c r="AW5" s="200">
        <v>200</v>
      </c>
      <c r="AX5" s="200">
        <v>100</v>
      </c>
      <c r="AY5" s="201">
        <v>100</v>
      </c>
    </row>
    <row r="6" spans="2:53" ht="13.5" customHeight="1">
      <c r="H6" s="23"/>
      <c r="I6" s="43" t="s">
        <v>171</v>
      </c>
      <c r="J6" s="27">
        <f>7+222+274+24</f>
        <v>527</v>
      </c>
      <c r="K6" s="27">
        <f>12+365+534+42</f>
        <v>953</v>
      </c>
      <c r="L6" s="27">
        <f>5+177+236+20</f>
        <v>438</v>
      </c>
      <c r="M6" s="27">
        <f>7+188+298+22</f>
        <v>515</v>
      </c>
      <c r="N6" s="23"/>
      <c r="O6" s="150" t="s">
        <v>414</v>
      </c>
      <c r="P6" s="93">
        <v>77</v>
      </c>
      <c r="Q6" s="27">
        <v>140</v>
      </c>
      <c r="R6" s="93">
        <v>66</v>
      </c>
      <c r="S6" s="202">
        <v>74</v>
      </c>
      <c r="T6" s="146"/>
      <c r="U6" s="147"/>
      <c r="V6" s="93"/>
      <c r="W6" s="93"/>
      <c r="X6" s="93"/>
      <c r="Y6" s="93"/>
      <c r="Z6" s="27"/>
      <c r="AB6" s="23"/>
      <c r="AC6" s="43" t="s">
        <v>162</v>
      </c>
      <c r="AD6" s="57">
        <f>25+212+63</f>
        <v>300</v>
      </c>
      <c r="AE6" s="27">
        <f>56+554+152</f>
        <v>762</v>
      </c>
      <c r="AF6" s="57">
        <f>32+272+71</f>
        <v>375</v>
      </c>
      <c r="AG6" s="57">
        <f>24+282+81</f>
        <v>387</v>
      </c>
      <c r="AH6" s="23"/>
      <c r="AI6" s="43" t="s">
        <v>163</v>
      </c>
      <c r="AJ6" s="57">
        <f>6+194</f>
        <v>200</v>
      </c>
      <c r="AK6" s="27">
        <f>14+530</f>
        <v>544</v>
      </c>
      <c r="AL6" s="27">
        <f>7+260</f>
        <v>267</v>
      </c>
      <c r="AM6" s="27">
        <f>7+270</f>
        <v>277</v>
      </c>
      <c r="AN6" s="23"/>
      <c r="AO6" s="87" t="s">
        <v>410</v>
      </c>
      <c r="AP6" s="23">
        <v>107</v>
      </c>
      <c r="AQ6" s="27">
        <v>226</v>
      </c>
      <c r="AR6" s="22">
        <v>102</v>
      </c>
      <c r="AS6" s="22">
        <v>124</v>
      </c>
      <c r="AT6" s="23"/>
      <c r="AU6" s="44"/>
      <c r="AV6" s="27"/>
      <c r="AW6" s="27"/>
      <c r="AX6" s="27"/>
      <c r="AY6" s="60"/>
    </row>
    <row r="7" spans="2:53" ht="12.75" customHeight="1">
      <c r="B7" s="19"/>
      <c r="C7" s="19"/>
      <c r="D7" s="49"/>
      <c r="E7" s="27"/>
      <c r="F7" s="27"/>
      <c r="G7" s="27"/>
      <c r="H7" s="23"/>
      <c r="I7" s="43" t="s">
        <v>179</v>
      </c>
      <c r="J7" s="27">
        <f>24+33+22+13</f>
        <v>92</v>
      </c>
      <c r="K7" s="27">
        <f>37+48+32+16</f>
        <v>133</v>
      </c>
      <c r="L7" s="27">
        <f>19+31+17+11</f>
        <v>78</v>
      </c>
      <c r="M7" s="27">
        <f>18+17+15+5</f>
        <v>55</v>
      </c>
      <c r="N7" s="23"/>
      <c r="O7" s="44"/>
      <c r="T7" s="23"/>
      <c r="U7" s="148" t="s">
        <v>161</v>
      </c>
      <c r="V7" s="55">
        <v>69</v>
      </c>
      <c r="W7" s="27">
        <v>124</v>
      </c>
      <c r="X7" s="55">
        <v>61</v>
      </c>
      <c r="Y7" s="55">
        <v>63</v>
      </c>
      <c r="Z7" s="27"/>
      <c r="AB7" s="23"/>
      <c r="AC7" s="43" t="s">
        <v>168</v>
      </c>
      <c r="AD7" s="19">
        <f>31+167+103+56+21</f>
        <v>378</v>
      </c>
      <c r="AE7" s="27">
        <f>65+321+237+115+37</f>
        <v>775</v>
      </c>
      <c r="AF7" s="22">
        <f>34+171+109+56+20</f>
        <v>390</v>
      </c>
      <c r="AG7" s="22">
        <f>31+150+128+59+17</f>
        <v>385</v>
      </c>
      <c r="AH7" s="23"/>
      <c r="AI7" s="43" t="s">
        <v>169</v>
      </c>
      <c r="AJ7" s="19">
        <v>89</v>
      </c>
      <c r="AK7" s="27">
        <v>249</v>
      </c>
      <c r="AL7" s="22">
        <v>118</v>
      </c>
      <c r="AM7" s="22">
        <v>131</v>
      </c>
      <c r="AN7" s="23"/>
      <c r="AO7" s="59" t="s">
        <v>223</v>
      </c>
      <c r="AP7" s="27">
        <v>40</v>
      </c>
      <c r="AQ7" s="27">
        <v>63</v>
      </c>
      <c r="AR7" s="27">
        <v>27</v>
      </c>
      <c r="AS7" s="27">
        <v>36</v>
      </c>
      <c r="AT7" s="23"/>
      <c r="AU7" s="43"/>
      <c r="AV7" s="27"/>
      <c r="AW7" s="27"/>
      <c r="AX7" s="27"/>
      <c r="AY7" s="60"/>
      <c r="AZ7" s="123"/>
      <c r="BA7" s="19"/>
    </row>
    <row r="8" spans="2:53" ht="12.75" customHeight="1">
      <c r="B8" s="268" t="s">
        <v>178</v>
      </c>
      <c r="C8" s="265"/>
      <c r="D8" s="61">
        <f>SUM(D10:D36)</f>
        <v>7681</v>
      </c>
      <c r="E8" s="26">
        <f>SUM(E10:E36)</f>
        <v>15954</v>
      </c>
      <c r="F8" s="26">
        <f>SUM(F10:F36)</f>
        <v>7609</v>
      </c>
      <c r="G8" s="26">
        <f>SUM(G10:G36)</f>
        <v>8345</v>
      </c>
      <c r="H8" s="23"/>
      <c r="I8" s="43" t="s">
        <v>186</v>
      </c>
      <c r="J8" s="27">
        <v>11</v>
      </c>
      <c r="K8" s="27">
        <v>15</v>
      </c>
      <c r="L8" s="27">
        <v>8</v>
      </c>
      <c r="M8" s="27">
        <v>7</v>
      </c>
      <c r="N8" s="23"/>
      <c r="O8" s="44"/>
      <c r="T8" s="23"/>
      <c r="U8" s="44" t="s">
        <v>167</v>
      </c>
      <c r="V8" s="27">
        <v>53</v>
      </c>
      <c r="W8" s="27">
        <v>88</v>
      </c>
      <c r="X8" s="27">
        <v>38</v>
      </c>
      <c r="Y8" s="27">
        <v>50</v>
      </c>
      <c r="Z8" s="27"/>
      <c r="AB8" s="23"/>
      <c r="AC8" s="43" t="s">
        <v>174</v>
      </c>
      <c r="AD8" s="27">
        <f>27+50+109+114+408</f>
        <v>708</v>
      </c>
      <c r="AE8" s="27">
        <f>48+119+303+231+906</f>
        <v>1607</v>
      </c>
      <c r="AF8" s="27">
        <f>23+58+151+114+463</f>
        <v>809</v>
      </c>
      <c r="AG8" s="27">
        <f>25+61+152+117+443</f>
        <v>798</v>
      </c>
      <c r="AH8" s="23"/>
      <c r="AI8" s="43" t="s">
        <v>175</v>
      </c>
      <c r="AJ8" s="27">
        <v>110</v>
      </c>
      <c r="AK8" s="27">
        <v>274</v>
      </c>
      <c r="AL8" s="27">
        <v>133</v>
      </c>
      <c r="AM8" s="27">
        <v>141</v>
      </c>
      <c r="AN8" s="23"/>
      <c r="AO8" s="43" t="s">
        <v>416</v>
      </c>
      <c r="AP8" s="27">
        <v>57</v>
      </c>
      <c r="AQ8" s="27">
        <v>93</v>
      </c>
      <c r="AR8" s="27">
        <v>38</v>
      </c>
      <c r="AS8" s="27">
        <v>55</v>
      </c>
      <c r="AT8" s="282" t="s">
        <v>165</v>
      </c>
      <c r="AU8" s="287"/>
      <c r="AV8" s="203">
        <f>SUM(AV10:AV34)</f>
        <v>2422</v>
      </c>
      <c r="AW8" s="203">
        <f>SUM(AW10:AW34)</f>
        <v>4773</v>
      </c>
      <c r="AX8" s="203">
        <f>SUM(AX10:AX34)</f>
        <v>2226</v>
      </c>
      <c r="AY8" s="204">
        <f>SUM(AY10:AY34)</f>
        <v>2547</v>
      </c>
      <c r="AZ8" s="27"/>
    </row>
    <row r="9" spans="2:53" ht="12.75" customHeight="1">
      <c r="B9" s="24"/>
      <c r="C9" s="24"/>
      <c r="D9" s="61"/>
      <c r="E9" s="26"/>
      <c r="F9" s="26"/>
      <c r="G9" s="26"/>
      <c r="H9" s="23"/>
      <c r="I9" s="43" t="s">
        <v>192</v>
      </c>
      <c r="J9" s="27">
        <f>29+142+105+4</f>
        <v>280</v>
      </c>
      <c r="K9" s="27">
        <f>53+246+164+9</f>
        <v>472</v>
      </c>
      <c r="L9" s="27">
        <f>22+113+71+4</f>
        <v>210</v>
      </c>
      <c r="M9" s="27">
        <f>31+133+93+5</f>
        <v>262</v>
      </c>
      <c r="N9" s="282" t="s">
        <v>160</v>
      </c>
      <c r="O9" s="283"/>
      <c r="P9" s="203">
        <f>SUM(P11:P27)</f>
        <v>4383</v>
      </c>
      <c r="Q9" s="203">
        <f>SUM(Q11:Q27)</f>
        <v>9057</v>
      </c>
      <c r="R9" s="203">
        <f>SUM(R11:R27)</f>
        <v>4289</v>
      </c>
      <c r="S9" s="205">
        <f>SUM(S11:S27)</f>
        <v>4768</v>
      </c>
      <c r="T9" s="23"/>
      <c r="U9" s="43" t="s">
        <v>173</v>
      </c>
      <c r="V9" s="27">
        <v>71</v>
      </c>
      <c r="W9" s="27">
        <v>122</v>
      </c>
      <c r="X9" s="27">
        <v>61</v>
      </c>
      <c r="Y9" s="27">
        <v>61</v>
      </c>
      <c r="Z9" s="27"/>
      <c r="AB9" s="23"/>
      <c r="AC9" s="43" t="s">
        <v>182</v>
      </c>
      <c r="AD9" s="27">
        <f>47+39+1+20+1+343+207+11</f>
        <v>669</v>
      </c>
      <c r="AE9" s="27">
        <f>96+80+5+33+1+654+464+19</f>
        <v>1352</v>
      </c>
      <c r="AF9" s="27">
        <f>48+36+3+21+1+313+231+13</f>
        <v>666</v>
      </c>
      <c r="AG9" s="27">
        <f>48+44+2+12+0+341+233+6</f>
        <v>686</v>
      </c>
      <c r="AH9" s="23"/>
      <c r="AI9" s="43" t="s">
        <v>183</v>
      </c>
      <c r="AJ9" s="27">
        <f>29+6</f>
        <v>35</v>
      </c>
      <c r="AK9" s="27">
        <f>55+10</f>
        <v>65</v>
      </c>
      <c r="AL9" s="27">
        <f>23+3</f>
        <v>26</v>
      </c>
      <c r="AM9" s="27">
        <f>32+7</f>
        <v>39</v>
      </c>
      <c r="AN9" s="23"/>
      <c r="AO9" s="43" t="s">
        <v>164</v>
      </c>
      <c r="AP9" s="27">
        <v>47</v>
      </c>
      <c r="AQ9" s="27">
        <v>79</v>
      </c>
      <c r="AR9" s="27">
        <v>32</v>
      </c>
      <c r="AS9" s="27">
        <v>47</v>
      </c>
      <c r="AT9" s="23"/>
      <c r="AU9" s="44"/>
      <c r="AV9" s="27"/>
      <c r="AW9" s="27"/>
      <c r="AX9" s="27"/>
      <c r="AY9" s="60"/>
    </row>
    <row r="10" spans="2:53">
      <c r="B10" s="19"/>
      <c r="C10" s="24" t="s">
        <v>191</v>
      </c>
      <c r="D10" s="23">
        <f>111+13</f>
        <v>124</v>
      </c>
      <c r="E10" s="27">
        <f>202+32</f>
        <v>234</v>
      </c>
      <c r="F10" s="19">
        <f>93+14</f>
        <v>107</v>
      </c>
      <c r="G10" s="27">
        <f>109+18</f>
        <v>127</v>
      </c>
      <c r="H10" s="23"/>
      <c r="I10" s="43" t="s">
        <v>197</v>
      </c>
      <c r="J10" s="27">
        <f>1+89+3</f>
        <v>93</v>
      </c>
      <c r="K10" s="27">
        <f>1+158+5</f>
        <v>164</v>
      </c>
      <c r="L10" s="27">
        <f>0+78+2</f>
        <v>80</v>
      </c>
      <c r="M10" s="27">
        <f>1+80+3</f>
        <v>84</v>
      </c>
      <c r="N10" s="23"/>
      <c r="O10" s="44"/>
      <c r="P10" s="27"/>
      <c r="Q10" s="27"/>
      <c r="R10" s="27"/>
      <c r="S10" s="27"/>
      <c r="T10" s="23"/>
      <c r="U10" s="43" t="s">
        <v>181</v>
      </c>
      <c r="V10" s="27">
        <v>101</v>
      </c>
      <c r="W10" s="27">
        <v>171</v>
      </c>
      <c r="X10" s="27">
        <v>80</v>
      </c>
      <c r="Y10" s="27">
        <v>91</v>
      </c>
      <c r="Z10" s="27"/>
      <c r="AB10" s="23"/>
      <c r="AC10" s="43" t="s">
        <v>189</v>
      </c>
      <c r="AD10" s="27">
        <f>3+46+28</f>
        <v>77</v>
      </c>
      <c r="AE10" s="27">
        <f>5+101+48</f>
        <v>154</v>
      </c>
      <c r="AF10" s="27">
        <f>2+49+20</f>
        <v>71</v>
      </c>
      <c r="AG10" s="27">
        <f>3+52+28</f>
        <v>83</v>
      </c>
      <c r="AH10" s="23"/>
      <c r="AI10" s="43" t="s">
        <v>195</v>
      </c>
      <c r="AJ10" s="27">
        <f>120+4</f>
        <v>124</v>
      </c>
      <c r="AK10" s="27">
        <f>221+13</f>
        <v>234</v>
      </c>
      <c r="AL10" s="27">
        <f>97+8</f>
        <v>105</v>
      </c>
      <c r="AM10" s="27">
        <f>124+5</f>
        <v>129</v>
      </c>
      <c r="AN10" s="23"/>
      <c r="AO10" s="43" t="s">
        <v>170</v>
      </c>
      <c r="AP10" s="27">
        <v>62</v>
      </c>
      <c r="AQ10" s="27">
        <v>108</v>
      </c>
      <c r="AR10" s="27">
        <v>51</v>
      </c>
      <c r="AS10" s="27">
        <v>57</v>
      </c>
      <c r="AT10" s="23"/>
      <c r="AU10" s="43" t="s">
        <v>177</v>
      </c>
      <c r="AV10" s="27">
        <v>152</v>
      </c>
      <c r="AW10" s="27">
        <v>325</v>
      </c>
      <c r="AX10" s="27">
        <v>157</v>
      </c>
      <c r="AY10" s="60">
        <v>168</v>
      </c>
    </row>
    <row r="11" spans="2:53" ht="12.75" customHeight="1">
      <c r="B11" s="19"/>
      <c r="C11" s="24" t="s">
        <v>5</v>
      </c>
      <c r="D11" s="49">
        <v>95</v>
      </c>
      <c r="E11" s="27">
        <v>173</v>
      </c>
      <c r="F11" s="27">
        <v>82</v>
      </c>
      <c r="G11" s="27">
        <v>91</v>
      </c>
      <c r="H11" s="23"/>
      <c r="I11" s="43" t="s">
        <v>204</v>
      </c>
      <c r="J11" s="27">
        <f>1+83+5</f>
        <v>89</v>
      </c>
      <c r="K11" s="27">
        <f>2+149+9</f>
        <v>160</v>
      </c>
      <c r="L11" s="27">
        <f>1+65+4</f>
        <v>70</v>
      </c>
      <c r="M11" s="27">
        <f>1+84+5</f>
        <v>90</v>
      </c>
      <c r="N11" s="23"/>
      <c r="O11" s="43" t="s">
        <v>172</v>
      </c>
      <c r="P11" s="27">
        <f>159+2</f>
        <v>161</v>
      </c>
      <c r="Q11" s="27">
        <f>274+5</f>
        <v>279</v>
      </c>
      <c r="R11" s="27">
        <f>120+3</f>
        <v>123</v>
      </c>
      <c r="S11" s="27">
        <f>154+2</f>
        <v>156</v>
      </c>
      <c r="T11" s="23"/>
      <c r="U11" s="43" t="s">
        <v>188</v>
      </c>
      <c r="V11" s="27">
        <v>132</v>
      </c>
      <c r="W11" s="27">
        <v>234</v>
      </c>
      <c r="X11" s="27">
        <v>107</v>
      </c>
      <c r="Y11" s="27">
        <v>127</v>
      </c>
      <c r="Z11" s="27"/>
      <c r="AB11" s="23"/>
      <c r="AC11" s="43" t="s">
        <v>194</v>
      </c>
      <c r="AD11" s="27">
        <f>24+263+16</f>
        <v>303</v>
      </c>
      <c r="AE11" s="27">
        <f>42+541+33</f>
        <v>616</v>
      </c>
      <c r="AF11" s="27">
        <f>24+262+14</f>
        <v>300</v>
      </c>
      <c r="AG11" s="27">
        <f>18+279+19</f>
        <v>316</v>
      </c>
      <c r="AH11" s="23"/>
      <c r="AI11" s="43" t="s">
        <v>200</v>
      </c>
      <c r="AJ11" s="27">
        <f>176+1</f>
        <v>177</v>
      </c>
      <c r="AK11" s="27">
        <f>490+3</f>
        <v>493</v>
      </c>
      <c r="AL11" s="27">
        <f>237+2</f>
        <v>239</v>
      </c>
      <c r="AM11" s="27">
        <f>253+1</f>
        <v>254</v>
      </c>
      <c r="AN11" s="23"/>
      <c r="AO11" s="43" t="s">
        <v>176</v>
      </c>
      <c r="AP11" s="27">
        <v>150</v>
      </c>
      <c r="AQ11" s="27">
        <v>319</v>
      </c>
      <c r="AR11" s="27">
        <v>157</v>
      </c>
      <c r="AS11" s="27">
        <v>162</v>
      </c>
      <c r="AT11" s="23"/>
      <c r="AU11" s="43" t="s">
        <v>185</v>
      </c>
      <c r="AV11" s="27">
        <v>77</v>
      </c>
      <c r="AW11" s="27">
        <v>168</v>
      </c>
      <c r="AX11" s="27">
        <v>83</v>
      </c>
      <c r="AY11" s="60">
        <v>85</v>
      </c>
    </row>
    <row r="12" spans="2:53">
      <c r="B12" s="19"/>
      <c r="C12" s="24" t="s">
        <v>203</v>
      </c>
      <c r="D12" s="49">
        <v>217</v>
      </c>
      <c r="E12" s="27">
        <v>385</v>
      </c>
      <c r="F12" s="27">
        <v>194</v>
      </c>
      <c r="G12" s="27">
        <v>191</v>
      </c>
      <c r="H12" s="23"/>
      <c r="I12" s="43" t="s">
        <v>209</v>
      </c>
      <c r="J12" s="27">
        <f>3+15+43+53</f>
        <v>114</v>
      </c>
      <c r="K12" s="27">
        <f>9+28+82+84</f>
        <v>203</v>
      </c>
      <c r="L12" s="27">
        <f>3+10+42+35</f>
        <v>90</v>
      </c>
      <c r="M12" s="27">
        <f>6+18+40+49</f>
        <v>113</v>
      </c>
      <c r="N12" s="23"/>
      <c r="O12" s="43" t="s">
        <v>180</v>
      </c>
      <c r="P12" s="27">
        <f>141+180+13</f>
        <v>334</v>
      </c>
      <c r="Q12" s="27">
        <f>240+359+27</f>
        <v>626</v>
      </c>
      <c r="R12" s="27">
        <f>96+171+13</f>
        <v>280</v>
      </c>
      <c r="S12" s="27">
        <f>144+188+14</f>
        <v>346</v>
      </c>
      <c r="T12" s="23"/>
      <c r="U12" s="43" t="s">
        <v>193</v>
      </c>
      <c r="V12" s="27">
        <v>182</v>
      </c>
      <c r="W12" s="27">
        <v>311</v>
      </c>
      <c r="X12" s="27">
        <v>148</v>
      </c>
      <c r="Y12" s="27">
        <v>163</v>
      </c>
      <c r="Z12" s="27"/>
      <c r="AB12" s="23"/>
      <c r="AC12" s="43" t="s">
        <v>55</v>
      </c>
      <c r="AD12" s="27">
        <f>262+120+334</f>
        <v>716</v>
      </c>
      <c r="AE12" s="27">
        <f>771+288+794</f>
        <v>1853</v>
      </c>
      <c r="AF12" s="27">
        <f>408+143+372</f>
        <v>923</v>
      </c>
      <c r="AG12" s="27">
        <f>363+145+422</f>
        <v>930</v>
      </c>
      <c r="AH12" s="23"/>
      <c r="AI12" s="43" t="s">
        <v>207</v>
      </c>
      <c r="AJ12" s="27">
        <v>214</v>
      </c>
      <c r="AK12" s="27">
        <v>550</v>
      </c>
      <c r="AL12" s="27">
        <v>271</v>
      </c>
      <c r="AM12" s="27">
        <v>279</v>
      </c>
      <c r="AN12" s="23"/>
      <c r="AO12" s="43" t="s">
        <v>184</v>
      </c>
      <c r="AP12" s="27">
        <v>60</v>
      </c>
      <c r="AQ12" s="27">
        <v>114</v>
      </c>
      <c r="AR12" s="27">
        <v>55</v>
      </c>
      <c r="AS12" s="27">
        <v>59</v>
      </c>
      <c r="AT12" s="23"/>
      <c r="AU12" s="43" t="s">
        <v>190</v>
      </c>
      <c r="AV12" s="27">
        <v>54</v>
      </c>
      <c r="AW12" s="27">
        <v>115</v>
      </c>
      <c r="AX12" s="27">
        <v>58</v>
      </c>
      <c r="AY12" s="60">
        <v>57</v>
      </c>
    </row>
    <row r="13" spans="2:53" ht="12.75" customHeight="1">
      <c r="B13" s="19"/>
      <c r="C13" s="24" t="s">
        <v>53</v>
      </c>
      <c r="D13" s="49">
        <v>88</v>
      </c>
      <c r="E13" s="27">
        <v>175</v>
      </c>
      <c r="F13" s="27">
        <v>82</v>
      </c>
      <c r="G13" s="27">
        <v>93</v>
      </c>
      <c r="H13" s="23"/>
      <c r="I13" s="43" t="s">
        <v>216</v>
      </c>
      <c r="J13" s="27">
        <f>34+23+18+20+3</f>
        <v>98</v>
      </c>
      <c r="K13" s="27">
        <f>68+48+31+33+5</f>
        <v>185</v>
      </c>
      <c r="L13" s="27">
        <f>30+24+15+17+2</f>
        <v>88</v>
      </c>
      <c r="M13" s="27">
        <f>38+24+16+16+3</f>
        <v>97</v>
      </c>
      <c r="N13" s="23"/>
      <c r="O13" s="43" t="s">
        <v>187</v>
      </c>
      <c r="P13" s="27">
        <f>1+28</f>
        <v>29</v>
      </c>
      <c r="Q13" s="27">
        <f>1+49</f>
        <v>50</v>
      </c>
      <c r="R13" s="27">
        <f>0+25</f>
        <v>25</v>
      </c>
      <c r="S13" s="27">
        <f>1+24</f>
        <v>25</v>
      </c>
      <c r="T13" s="23"/>
      <c r="U13" s="43" t="s">
        <v>199</v>
      </c>
      <c r="V13" s="27">
        <v>53</v>
      </c>
      <c r="W13" s="27">
        <v>107</v>
      </c>
      <c r="X13" s="27">
        <v>58</v>
      </c>
      <c r="Y13" s="27">
        <v>49</v>
      </c>
      <c r="Z13" s="27"/>
      <c r="AB13" s="23"/>
      <c r="AC13" s="43" t="s">
        <v>206</v>
      </c>
      <c r="AD13" s="27">
        <f>81+78+185</f>
        <v>344</v>
      </c>
      <c r="AE13" s="27">
        <f>131+164+383</f>
        <v>678</v>
      </c>
      <c r="AF13" s="27">
        <f>57+86+195</f>
        <v>338</v>
      </c>
      <c r="AG13" s="27">
        <f>74+78+188</f>
        <v>340</v>
      </c>
      <c r="AH13" s="23"/>
      <c r="AI13" s="43" t="s">
        <v>212</v>
      </c>
      <c r="AJ13" s="27">
        <f>214+17</f>
        <v>231</v>
      </c>
      <c r="AK13" s="27">
        <f>432+38</f>
        <v>470</v>
      </c>
      <c r="AL13" s="27">
        <f>199+19</f>
        <v>218</v>
      </c>
      <c r="AM13" s="27">
        <f>233+19</f>
        <v>252</v>
      </c>
      <c r="AN13" s="264"/>
      <c r="AO13" s="265"/>
      <c r="AP13" s="26"/>
      <c r="AQ13" s="26"/>
      <c r="AR13" s="26"/>
      <c r="AS13" s="26"/>
      <c r="AT13" s="23"/>
      <c r="AU13" s="43" t="s">
        <v>196</v>
      </c>
      <c r="AV13" s="27">
        <v>41</v>
      </c>
      <c r="AW13" s="27">
        <v>79</v>
      </c>
      <c r="AX13" s="27">
        <v>39</v>
      </c>
      <c r="AY13" s="60">
        <v>40</v>
      </c>
    </row>
    <row r="14" spans="2:53" ht="12.75" customHeight="1">
      <c r="B14" s="19"/>
      <c r="C14" s="24" t="s">
        <v>215</v>
      </c>
      <c r="D14" s="49">
        <v>101</v>
      </c>
      <c r="E14" s="27">
        <v>209</v>
      </c>
      <c r="F14" s="27">
        <v>103</v>
      </c>
      <c r="G14" s="27">
        <v>106</v>
      </c>
      <c r="H14" s="23"/>
      <c r="I14" s="43" t="s">
        <v>223</v>
      </c>
      <c r="J14" s="27">
        <f>7+1+37+12</f>
        <v>57</v>
      </c>
      <c r="K14" s="27">
        <f>12+2+67+19</f>
        <v>100</v>
      </c>
      <c r="L14" s="27">
        <f>3+1+37+7</f>
        <v>48</v>
      </c>
      <c r="M14" s="27">
        <f>9+1+30+12</f>
        <v>52</v>
      </c>
      <c r="N14" s="23"/>
      <c r="O14" s="43" t="s">
        <v>93</v>
      </c>
      <c r="P14" s="27">
        <f>4+53+119+38+3</f>
        <v>217</v>
      </c>
      <c r="Q14" s="27">
        <f>9+89+248+61+4</f>
        <v>411</v>
      </c>
      <c r="R14" s="27">
        <f>4+41+122+28+2</f>
        <v>197</v>
      </c>
      <c r="S14" s="27">
        <f>5+48+126+33+2</f>
        <v>214</v>
      </c>
      <c r="T14" s="23"/>
      <c r="U14" s="44"/>
      <c r="Z14" s="26"/>
      <c r="AA14" s="62"/>
      <c r="AB14" s="23"/>
      <c r="AC14" s="43" t="s">
        <v>211</v>
      </c>
      <c r="AD14" s="27">
        <f>53+92</f>
        <v>145</v>
      </c>
      <c r="AE14" s="27">
        <f>98+178</f>
        <v>276</v>
      </c>
      <c r="AF14" s="27">
        <f>41+85</f>
        <v>126</v>
      </c>
      <c r="AG14" s="27">
        <f>57+93</f>
        <v>150</v>
      </c>
      <c r="AH14" s="23"/>
      <c r="AI14" s="43" t="s">
        <v>220</v>
      </c>
      <c r="AJ14" s="27">
        <v>190</v>
      </c>
      <c r="AK14" s="27">
        <v>393</v>
      </c>
      <c r="AL14" s="27">
        <v>171</v>
      </c>
      <c r="AM14" s="27">
        <v>222</v>
      </c>
      <c r="AN14" s="23"/>
      <c r="AO14" s="44"/>
      <c r="AP14" s="27"/>
      <c r="AQ14" s="27"/>
      <c r="AR14" s="27"/>
      <c r="AS14" s="27"/>
      <c r="AT14" s="23"/>
      <c r="AU14" s="43" t="s">
        <v>202</v>
      </c>
      <c r="AV14" s="27">
        <v>21</v>
      </c>
      <c r="AW14" s="27">
        <v>37</v>
      </c>
      <c r="AX14" s="27">
        <v>18</v>
      </c>
      <c r="AY14" s="60">
        <v>19</v>
      </c>
    </row>
    <row r="15" spans="2:53">
      <c r="B15" s="19"/>
      <c r="C15" s="24" t="s">
        <v>222</v>
      </c>
      <c r="D15" s="49">
        <v>222</v>
      </c>
      <c r="E15" s="27">
        <v>479</v>
      </c>
      <c r="F15" s="27">
        <v>225</v>
      </c>
      <c r="G15" s="27">
        <v>254</v>
      </c>
      <c r="H15" s="23"/>
      <c r="I15" s="43" t="s">
        <v>229</v>
      </c>
      <c r="J15" s="27">
        <f>45+8+1</f>
        <v>54</v>
      </c>
      <c r="K15" s="27">
        <f>90+21+1</f>
        <v>112</v>
      </c>
      <c r="L15" s="27">
        <f>45+11+1</f>
        <v>57</v>
      </c>
      <c r="M15" s="27">
        <f>45+10+0</f>
        <v>55</v>
      </c>
      <c r="N15" s="23"/>
      <c r="O15" s="43" t="s">
        <v>198</v>
      </c>
      <c r="P15" s="27">
        <f>192+16+46+8</f>
        <v>262</v>
      </c>
      <c r="Q15" s="27">
        <f>410+31+59+15</f>
        <v>515</v>
      </c>
      <c r="R15" s="27">
        <f>194+14+25+7</f>
        <v>240</v>
      </c>
      <c r="S15" s="27">
        <f>216+17+34+8</f>
        <v>275</v>
      </c>
      <c r="T15" s="23"/>
      <c r="U15" s="44"/>
      <c r="Z15" s="27"/>
      <c r="AB15" s="23"/>
      <c r="AC15" s="43" t="s">
        <v>219</v>
      </c>
      <c r="AD15" s="27">
        <v>91</v>
      </c>
      <c r="AE15" s="27">
        <v>187</v>
      </c>
      <c r="AF15" s="27">
        <v>95</v>
      </c>
      <c r="AG15" s="27">
        <v>92</v>
      </c>
      <c r="AH15" s="23"/>
      <c r="AI15" s="43" t="s">
        <v>226</v>
      </c>
      <c r="AJ15" s="27">
        <v>240</v>
      </c>
      <c r="AK15" s="27">
        <v>500</v>
      </c>
      <c r="AL15" s="27">
        <v>231</v>
      </c>
      <c r="AM15" s="27">
        <v>269</v>
      </c>
      <c r="AN15" s="264" t="s">
        <v>201</v>
      </c>
      <c r="AO15" s="265"/>
      <c r="AP15" s="26">
        <f>SUM(AP17:AP41,AV5)</f>
        <v>1540</v>
      </c>
      <c r="AQ15" s="26">
        <f>SUM(AQ17:AQ41,AW5)</f>
        <v>3128</v>
      </c>
      <c r="AR15" s="26">
        <f>SUM(AR17:AR41,AX5)</f>
        <v>1513</v>
      </c>
      <c r="AS15" s="26">
        <f>SUM(AS17:AS41,AY5)</f>
        <v>1615</v>
      </c>
      <c r="AT15" s="23"/>
      <c r="AU15" s="43" t="s">
        <v>208</v>
      </c>
      <c r="AV15" s="27">
        <v>28</v>
      </c>
      <c r="AW15" s="27">
        <v>72</v>
      </c>
      <c r="AX15" s="27">
        <v>35</v>
      </c>
      <c r="AY15" s="60">
        <v>37</v>
      </c>
    </row>
    <row r="16" spans="2:53">
      <c r="B16" s="19"/>
      <c r="C16" s="24" t="s">
        <v>228</v>
      </c>
      <c r="D16" s="49">
        <v>404</v>
      </c>
      <c r="E16" s="27">
        <v>831</v>
      </c>
      <c r="F16" s="27">
        <v>395</v>
      </c>
      <c r="G16" s="27">
        <v>436</v>
      </c>
      <c r="H16" s="23"/>
      <c r="I16" s="43" t="s">
        <v>237</v>
      </c>
      <c r="J16" s="27">
        <f>2+545</f>
        <v>547</v>
      </c>
      <c r="K16" s="27">
        <f>3+1072</f>
        <v>1075</v>
      </c>
      <c r="L16" s="27">
        <f>1+505</f>
        <v>506</v>
      </c>
      <c r="M16" s="27">
        <f>2+567</f>
        <v>569</v>
      </c>
      <c r="N16" s="23"/>
      <c r="O16" s="43" t="s">
        <v>205</v>
      </c>
      <c r="P16" s="27">
        <f>21+14+203+68+79+113+192+436+146+96</f>
        <v>1368</v>
      </c>
      <c r="Q16" s="27">
        <f>42+23+452+132+178+251+387+1008+339+216</f>
        <v>3028</v>
      </c>
      <c r="R16" s="27">
        <f>18+12+213+53+91+127+180+506+159+102</f>
        <v>1461</v>
      </c>
      <c r="S16" s="27">
        <f>24+11+239+79+87+124+207+502+180+114</f>
        <v>1567</v>
      </c>
      <c r="T16" s="264" t="s">
        <v>218</v>
      </c>
      <c r="U16" s="265"/>
      <c r="V16" s="26">
        <f>SUM(V18:V41)</f>
        <v>6316</v>
      </c>
      <c r="W16" s="26">
        <f>SUM(W18:W41)</f>
        <v>12602</v>
      </c>
      <c r="X16" s="26">
        <f>SUM(X18:X41)</f>
        <v>6435</v>
      </c>
      <c r="Y16" s="26">
        <f>SUM(Y18:Y41)</f>
        <v>6167</v>
      </c>
      <c r="Z16" s="27"/>
      <c r="AB16" s="23"/>
      <c r="AC16" s="43" t="s">
        <v>225</v>
      </c>
      <c r="AD16" s="27">
        <f>172+2</f>
        <v>174</v>
      </c>
      <c r="AE16" s="27">
        <f>323+2</f>
        <v>325</v>
      </c>
      <c r="AF16" s="27">
        <f>169+0</f>
        <v>169</v>
      </c>
      <c r="AG16" s="27">
        <f>154+2</f>
        <v>156</v>
      </c>
      <c r="AH16" s="23"/>
      <c r="AI16" s="43" t="s">
        <v>233</v>
      </c>
      <c r="AJ16" s="27">
        <f>127+204</f>
        <v>331</v>
      </c>
      <c r="AK16" s="27">
        <f>235+406</f>
        <v>641</v>
      </c>
      <c r="AL16" s="27">
        <f>79+154</f>
        <v>233</v>
      </c>
      <c r="AM16" s="27">
        <f>156+252</f>
        <v>408</v>
      </c>
      <c r="AN16" s="23"/>
      <c r="AO16" s="44"/>
      <c r="AP16" s="27"/>
      <c r="AQ16" s="27"/>
      <c r="AR16" s="27"/>
      <c r="AS16" s="27"/>
      <c r="AT16" s="23"/>
      <c r="AU16" s="43" t="s">
        <v>214</v>
      </c>
      <c r="AV16" s="27">
        <f>2+47</f>
        <v>49</v>
      </c>
      <c r="AW16" s="27">
        <f>2+94</f>
        <v>96</v>
      </c>
      <c r="AX16" s="27">
        <f>0+46</f>
        <v>46</v>
      </c>
      <c r="AY16" s="60">
        <f>2+48</f>
        <v>50</v>
      </c>
    </row>
    <row r="17" spans="2:51">
      <c r="B17" s="19"/>
      <c r="C17" s="24" t="s">
        <v>236</v>
      </c>
      <c r="D17" s="49">
        <v>299</v>
      </c>
      <c r="E17" s="27">
        <v>628</v>
      </c>
      <c r="F17" s="27">
        <v>296</v>
      </c>
      <c r="G17" s="27">
        <v>332</v>
      </c>
      <c r="H17" s="23"/>
      <c r="I17" s="43" t="s">
        <v>244</v>
      </c>
      <c r="J17" s="27">
        <v>39</v>
      </c>
      <c r="K17" s="27">
        <v>68</v>
      </c>
      <c r="L17" s="27">
        <v>29</v>
      </c>
      <c r="M17" s="27">
        <v>39</v>
      </c>
      <c r="N17" s="23"/>
      <c r="O17" s="43" t="s">
        <v>210</v>
      </c>
      <c r="P17" s="27">
        <f>41+11+163+15+43+14</f>
        <v>287</v>
      </c>
      <c r="Q17" s="27">
        <f>77+20+365+35+83+26</f>
        <v>606</v>
      </c>
      <c r="R17" s="27">
        <f>37+8+174+16+39+13</f>
        <v>287</v>
      </c>
      <c r="S17" s="27">
        <f>40+12+191+19+44+13</f>
        <v>319</v>
      </c>
      <c r="T17" s="23"/>
      <c r="U17" s="44"/>
      <c r="V17" s="27"/>
      <c r="W17" s="27"/>
      <c r="X17" s="27"/>
      <c r="Y17" s="27"/>
      <c r="Z17" s="27"/>
      <c r="AB17" s="23"/>
      <c r="AC17" s="43" t="s">
        <v>232</v>
      </c>
      <c r="AD17" s="27">
        <f>192+23+9+7</f>
        <v>231</v>
      </c>
      <c r="AE17" s="27">
        <f>355+30+30+22</f>
        <v>437</v>
      </c>
      <c r="AF17" s="27">
        <f>210+13+17+9</f>
        <v>249</v>
      </c>
      <c r="AG17" s="27">
        <f>145+17+13+13</f>
        <v>188</v>
      </c>
      <c r="AH17" s="23"/>
      <c r="AI17" s="43" t="s">
        <v>240</v>
      </c>
      <c r="AJ17" s="27">
        <v>256</v>
      </c>
      <c r="AK17" s="27">
        <v>535</v>
      </c>
      <c r="AL17" s="27">
        <v>261</v>
      </c>
      <c r="AM17" s="27">
        <v>274</v>
      </c>
      <c r="AN17" s="23"/>
      <c r="AO17" s="43" t="s">
        <v>213</v>
      </c>
      <c r="AP17" s="27">
        <v>8</v>
      </c>
      <c r="AQ17" s="27">
        <v>9</v>
      </c>
      <c r="AR17" s="27">
        <v>4</v>
      </c>
      <c r="AS17" s="27">
        <v>5</v>
      </c>
      <c r="AT17" s="23"/>
      <c r="AU17" s="43" t="s">
        <v>235</v>
      </c>
      <c r="AV17" s="27">
        <v>70</v>
      </c>
      <c r="AW17" s="27">
        <v>146</v>
      </c>
      <c r="AX17" s="27">
        <v>64</v>
      </c>
      <c r="AY17" s="60">
        <v>82</v>
      </c>
    </row>
    <row r="18" spans="2:51" ht="15.75" customHeight="1">
      <c r="B18" s="19"/>
      <c r="C18" s="24" t="s">
        <v>243</v>
      </c>
      <c r="D18" s="49">
        <v>160</v>
      </c>
      <c r="E18" s="27">
        <v>323</v>
      </c>
      <c r="F18" s="27">
        <v>157</v>
      </c>
      <c r="G18" s="27">
        <v>166</v>
      </c>
      <c r="H18" s="23"/>
      <c r="I18" s="85" t="s">
        <v>474</v>
      </c>
      <c r="J18" s="27">
        <v>46</v>
      </c>
      <c r="K18" s="27">
        <v>110</v>
      </c>
      <c r="L18" s="27">
        <v>59</v>
      </c>
      <c r="M18" s="27">
        <v>51</v>
      </c>
      <c r="N18" s="23"/>
      <c r="O18" s="43" t="s">
        <v>217</v>
      </c>
      <c r="P18" s="27">
        <f>6+20+38</f>
        <v>64</v>
      </c>
      <c r="Q18" s="27">
        <f>13+45+66</f>
        <v>124</v>
      </c>
      <c r="R18" s="27">
        <f>6+22+31</f>
        <v>59</v>
      </c>
      <c r="S18" s="27">
        <f>7+23+35</f>
        <v>65</v>
      </c>
      <c r="T18" s="23"/>
      <c r="U18" s="43" t="s">
        <v>231</v>
      </c>
      <c r="V18" s="27">
        <v>667</v>
      </c>
      <c r="W18" s="27">
        <v>1784</v>
      </c>
      <c r="X18" s="27">
        <v>891</v>
      </c>
      <c r="Y18" s="27">
        <v>893</v>
      </c>
      <c r="Z18" s="27"/>
      <c r="AB18" s="23"/>
      <c r="AC18" s="43" t="s">
        <v>239</v>
      </c>
      <c r="AD18" s="27">
        <v>143</v>
      </c>
      <c r="AE18" s="27">
        <v>305</v>
      </c>
      <c r="AF18" s="27">
        <v>157</v>
      </c>
      <c r="AG18" s="27">
        <v>148</v>
      </c>
      <c r="AH18" s="23"/>
      <c r="AI18" s="43" t="s">
        <v>248</v>
      </c>
      <c r="AJ18" s="27">
        <v>623</v>
      </c>
      <c r="AK18" s="27">
        <v>1384</v>
      </c>
      <c r="AL18" s="27">
        <v>689</v>
      </c>
      <c r="AM18" s="27">
        <v>695</v>
      </c>
      <c r="AN18" s="23"/>
      <c r="AO18" s="43" t="s">
        <v>221</v>
      </c>
      <c r="AP18" s="27">
        <v>4</v>
      </c>
      <c r="AQ18" s="27">
        <v>7</v>
      </c>
      <c r="AR18" s="27">
        <v>3</v>
      </c>
      <c r="AS18" s="27">
        <v>4</v>
      </c>
      <c r="AT18" s="23"/>
      <c r="AU18" s="43" t="s">
        <v>242</v>
      </c>
      <c r="AV18" s="27">
        <v>96</v>
      </c>
      <c r="AW18" s="27">
        <v>194</v>
      </c>
      <c r="AX18" s="27">
        <v>93</v>
      </c>
      <c r="AY18" s="60">
        <v>101</v>
      </c>
    </row>
    <row r="19" spans="2:51">
      <c r="B19" s="19"/>
      <c r="C19" s="24" t="s">
        <v>272</v>
      </c>
      <c r="D19" s="49">
        <f>306+438+3+1+17</f>
        <v>765</v>
      </c>
      <c r="E19" s="27">
        <f>560+887+12+4+42</f>
        <v>1505</v>
      </c>
      <c r="F19" s="27">
        <f>290+419+7+2+21</f>
        <v>739</v>
      </c>
      <c r="G19" s="22">
        <f>270+468+5+2+21</f>
        <v>766</v>
      </c>
      <c r="H19" s="23"/>
      <c r="I19" s="84" t="s">
        <v>430</v>
      </c>
      <c r="J19" s="27">
        <v>55</v>
      </c>
      <c r="K19" s="27">
        <v>116</v>
      </c>
      <c r="L19" s="27">
        <v>49</v>
      </c>
      <c r="M19" s="27">
        <v>67</v>
      </c>
      <c r="N19" s="23"/>
      <c r="O19" s="43" t="s">
        <v>224</v>
      </c>
      <c r="P19" s="27">
        <v>100</v>
      </c>
      <c r="Q19" s="27">
        <v>186</v>
      </c>
      <c r="R19" s="27">
        <v>87</v>
      </c>
      <c r="S19" s="27">
        <v>99</v>
      </c>
      <c r="T19" s="23"/>
      <c r="U19" s="43" t="s">
        <v>238</v>
      </c>
      <c r="V19" s="27">
        <v>177</v>
      </c>
      <c r="W19" s="27">
        <v>258</v>
      </c>
      <c r="X19" s="27">
        <v>126</v>
      </c>
      <c r="Y19" s="27">
        <v>132</v>
      </c>
      <c r="Z19" s="27"/>
      <c r="AB19" s="23"/>
      <c r="AC19" s="43" t="s">
        <v>247</v>
      </c>
      <c r="AD19" s="27">
        <v>64</v>
      </c>
      <c r="AE19" s="27">
        <v>116</v>
      </c>
      <c r="AF19" s="27">
        <v>53</v>
      </c>
      <c r="AG19" s="27">
        <v>63</v>
      </c>
      <c r="AH19" s="23"/>
      <c r="AI19" s="43" t="s">
        <v>255</v>
      </c>
      <c r="AJ19" s="27">
        <v>88</v>
      </c>
      <c r="AK19" s="27">
        <v>181</v>
      </c>
      <c r="AL19" s="27">
        <v>85</v>
      </c>
      <c r="AM19" s="27">
        <v>96</v>
      </c>
      <c r="AN19" s="23"/>
      <c r="AO19" s="43" t="s">
        <v>227</v>
      </c>
      <c r="AP19" s="27">
        <v>3</v>
      </c>
      <c r="AQ19" s="27">
        <v>4</v>
      </c>
      <c r="AR19" s="27">
        <v>2</v>
      </c>
      <c r="AS19" s="27">
        <v>2</v>
      </c>
      <c r="AT19" s="23"/>
      <c r="AU19" s="43" t="s">
        <v>250</v>
      </c>
      <c r="AV19" s="27">
        <v>111</v>
      </c>
      <c r="AW19" s="27">
        <v>215</v>
      </c>
      <c r="AX19" s="27">
        <v>104</v>
      </c>
      <c r="AY19" s="60">
        <v>111</v>
      </c>
    </row>
    <row r="20" spans="2:51">
      <c r="B20" s="19"/>
      <c r="C20" s="24" t="s">
        <v>279</v>
      </c>
      <c r="D20" s="49">
        <f>6+313+292+3</f>
        <v>614</v>
      </c>
      <c r="E20" s="27">
        <f>19+674+695+5</f>
        <v>1393</v>
      </c>
      <c r="F20" s="27">
        <f>8+322+321+3</f>
        <v>654</v>
      </c>
      <c r="G20" s="22">
        <f>11+352+374+2</f>
        <v>739</v>
      </c>
      <c r="H20" s="23"/>
      <c r="I20" s="13" t="s">
        <v>9</v>
      </c>
      <c r="J20" s="22">
        <v>42</v>
      </c>
      <c r="K20" s="27">
        <v>94</v>
      </c>
      <c r="L20" s="22">
        <v>46</v>
      </c>
      <c r="M20" s="22">
        <v>48</v>
      </c>
      <c r="N20" s="23"/>
      <c r="O20" s="43" t="s">
        <v>230</v>
      </c>
      <c r="P20" s="27">
        <f>26+180+1</f>
        <v>207</v>
      </c>
      <c r="Q20" s="27">
        <f>46+387+2</f>
        <v>435</v>
      </c>
      <c r="R20" s="27">
        <f>21+178+1</f>
        <v>200</v>
      </c>
      <c r="S20" s="27">
        <f>25+209+1</f>
        <v>235</v>
      </c>
      <c r="T20" s="23"/>
      <c r="U20" s="43" t="s">
        <v>246</v>
      </c>
      <c r="V20" s="27">
        <v>70</v>
      </c>
      <c r="W20" s="27">
        <v>130</v>
      </c>
      <c r="X20" s="27">
        <v>64</v>
      </c>
      <c r="Y20" s="27">
        <v>66</v>
      </c>
      <c r="Z20" s="27"/>
      <c r="AB20" s="23"/>
      <c r="AC20" s="43" t="s">
        <v>254</v>
      </c>
      <c r="AD20" s="27">
        <v>94</v>
      </c>
      <c r="AE20" s="27">
        <v>189</v>
      </c>
      <c r="AF20" s="27">
        <v>92</v>
      </c>
      <c r="AG20" s="27">
        <v>97</v>
      </c>
      <c r="AH20" s="23"/>
      <c r="AI20" s="43"/>
      <c r="AJ20" s="27"/>
      <c r="AK20" s="27"/>
      <c r="AL20" s="27"/>
      <c r="AM20" s="27"/>
      <c r="AN20" s="23"/>
      <c r="AO20" s="43" t="s">
        <v>234</v>
      </c>
      <c r="AP20" s="27">
        <v>8</v>
      </c>
      <c r="AQ20" s="27">
        <v>14</v>
      </c>
      <c r="AR20" s="27">
        <v>8</v>
      </c>
      <c r="AS20" s="27">
        <v>6</v>
      </c>
      <c r="AT20" s="23"/>
      <c r="AU20" s="43" t="s">
        <v>257</v>
      </c>
      <c r="AV20" s="27">
        <v>328</v>
      </c>
      <c r="AW20" s="27">
        <v>719</v>
      </c>
      <c r="AX20" s="27">
        <v>346</v>
      </c>
      <c r="AY20" s="60">
        <v>373</v>
      </c>
    </row>
    <row r="21" spans="2:51" ht="12.75" customHeight="1">
      <c r="B21" s="19"/>
      <c r="C21" s="24" t="s">
        <v>99</v>
      </c>
      <c r="D21" s="49">
        <f>12+92+6+462</f>
        <v>572</v>
      </c>
      <c r="E21" s="27">
        <f>22+193+8+1144</f>
        <v>1367</v>
      </c>
      <c r="F21" s="27">
        <f>11+99+3+556</f>
        <v>669</v>
      </c>
      <c r="G21" s="22">
        <f>11+94+5+588</f>
        <v>698</v>
      </c>
      <c r="H21" s="23"/>
      <c r="I21" s="279" t="s">
        <v>586</v>
      </c>
      <c r="J21" s="27">
        <v>54</v>
      </c>
      <c r="K21" s="27">
        <v>99</v>
      </c>
      <c r="L21" s="27">
        <v>49</v>
      </c>
      <c r="M21" s="27">
        <v>50</v>
      </c>
      <c r="N21" s="23"/>
      <c r="O21" s="43" t="s">
        <v>73</v>
      </c>
      <c r="P21" s="27">
        <f>2+6+126</f>
        <v>134</v>
      </c>
      <c r="Q21" s="27">
        <f>4+7+220</f>
        <v>231</v>
      </c>
      <c r="R21" s="27">
        <f>1+4+99</f>
        <v>104</v>
      </c>
      <c r="S21" s="27">
        <f>3+3+121</f>
        <v>127</v>
      </c>
      <c r="T21" s="23"/>
      <c r="U21" s="43" t="s">
        <v>253</v>
      </c>
      <c r="V21" s="27">
        <v>165</v>
      </c>
      <c r="W21" s="27">
        <v>308</v>
      </c>
      <c r="X21" s="27">
        <v>137</v>
      </c>
      <c r="Y21" s="27">
        <v>171</v>
      </c>
      <c r="Z21" s="27"/>
      <c r="AB21" s="23"/>
      <c r="AC21" s="43" t="s">
        <v>261</v>
      </c>
      <c r="AD21" s="27">
        <f>48+5</f>
        <v>53</v>
      </c>
      <c r="AE21" s="27">
        <f>94+10</f>
        <v>104</v>
      </c>
      <c r="AF21" s="27">
        <f>45+6</f>
        <v>51</v>
      </c>
      <c r="AG21" s="27">
        <f>49+4</f>
        <v>53</v>
      </c>
      <c r="AH21" s="23"/>
      <c r="AI21" s="43"/>
      <c r="AJ21" s="27"/>
      <c r="AK21" s="27"/>
      <c r="AL21" s="27"/>
      <c r="AM21" s="27"/>
      <c r="AN21" s="23"/>
      <c r="AO21" s="43" t="s">
        <v>241</v>
      </c>
      <c r="AP21" s="27">
        <v>33</v>
      </c>
      <c r="AQ21" s="27">
        <v>59</v>
      </c>
      <c r="AR21" s="27">
        <v>28</v>
      </c>
      <c r="AS21" s="27">
        <v>31</v>
      </c>
      <c r="AT21" s="23"/>
      <c r="AU21" s="86" t="s">
        <v>585</v>
      </c>
      <c r="AV21" s="27">
        <v>96</v>
      </c>
      <c r="AW21" s="27">
        <v>132</v>
      </c>
      <c r="AX21" s="27">
        <v>70</v>
      </c>
      <c r="AY21" s="60">
        <v>62</v>
      </c>
    </row>
    <row r="22" spans="2:51" ht="12.75" customHeight="1">
      <c r="B22" s="19"/>
      <c r="C22" s="24" t="s">
        <v>291</v>
      </c>
      <c r="D22" s="49">
        <f>1+248</f>
        <v>249</v>
      </c>
      <c r="E22" s="27">
        <f>4+585</f>
        <v>589</v>
      </c>
      <c r="F22" s="27">
        <f>2+273</f>
        <v>275</v>
      </c>
      <c r="G22" s="27">
        <f>2+312</f>
        <v>314</v>
      </c>
      <c r="H22" s="23"/>
      <c r="I22" s="279"/>
      <c r="N22" s="23"/>
      <c r="O22" s="43" t="s">
        <v>245</v>
      </c>
      <c r="P22" s="27">
        <f>69+2</f>
        <v>71</v>
      </c>
      <c r="Q22" s="27">
        <f>142+2</f>
        <v>144</v>
      </c>
      <c r="R22" s="27">
        <f>58+1</f>
        <v>59</v>
      </c>
      <c r="S22" s="27">
        <f>84+1</f>
        <v>85</v>
      </c>
      <c r="T22" s="23"/>
      <c r="U22" s="43" t="s">
        <v>260</v>
      </c>
      <c r="V22" s="27">
        <v>557</v>
      </c>
      <c r="W22" s="27">
        <v>1414</v>
      </c>
      <c r="X22" s="27">
        <v>697</v>
      </c>
      <c r="Y22" s="27">
        <v>717</v>
      </c>
      <c r="Z22" s="27"/>
      <c r="AB22" s="23"/>
      <c r="AC22" s="43" t="s">
        <v>268</v>
      </c>
      <c r="AD22" s="27">
        <v>39</v>
      </c>
      <c r="AE22" s="27">
        <v>91</v>
      </c>
      <c r="AF22" s="27">
        <v>46</v>
      </c>
      <c r="AG22" s="27">
        <v>45</v>
      </c>
      <c r="AH22" s="264" t="s">
        <v>551</v>
      </c>
      <c r="AI22" s="278"/>
      <c r="AJ22" s="26">
        <f>SUM(AJ24:AJ38)</f>
        <v>2456</v>
      </c>
      <c r="AK22" s="26">
        <f>SUM(AK24:AK38)</f>
        <v>5380</v>
      </c>
      <c r="AL22" s="26">
        <f>SUM(AL24:AL38)</f>
        <v>2602</v>
      </c>
      <c r="AM22" s="26">
        <f>SUM(AM24:AM38)</f>
        <v>2778</v>
      </c>
      <c r="AN22" s="23"/>
      <c r="AO22" s="43" t="s">
        <v>249</v>
      </c>
      <c r="AP22" s="27">
        <v>46</v>
      </c>
      <c r="AQ22" s="27">
        <v>79</v>
      </c>
      <c r="AR22" s="27">
        <v>30</v>
      </c>
      <c r="AS22" s="27">
        <v>49</v>
      </c>
      <c r="AT22" s="23"/>
      <c r="AU22" s="43" t="s">
        <v>271</v>
      </c>
      <c r="AV22" s="27">
        <v>63</v>
      </c>
      <c r="AW22" s="27">
        <v>128</v>
      </c>
      <c r="AX22" s="27">
        <v>58</v>
      </c>
      <c r="AY22" s="60">
        <v>70</v>
      </c>
    </row>
    <row r="23" spans="2:51">
      <c r="B23" s="19"/>
      <c r="C23" s="24" t="s">
        <v>83</v>
      </c>
      <c r="D23" s="49">
        <v>306</v>
      </c>
      <c r="E23" s="27">
        <v>608</v>
      </c>
      <c r="F23" s="27">
        <v>279</v>
      </c>
      <c r="G23" s="27">
        <v>329</v>
      </c>
      <c r="H23" s="23"/>
      <c r="I23" s="44"/>
      <c r="N23" s="23"/>
      <c r="O23" s="43" t="s">
        <v>252</v>
      </c>
      <c r="P23" s="27">
        <f>26+35</f>
        <v>61</v>
      </c>
      <c r="Q23" s="27">
        <f>53+70</f>
        <v>123</v>
      </c>
      <c r="R23" s="27">
        <f>25+32</f>
        <v>57</v>
      </c>
      <c r="S23" s="27">
        <f>28+38</f>
        <v>66</v>
      </c>
      <c r="T23" s="23"/>
      <c r="U23" s="43" t="s">
        <v>267</v>
      </c>
      <c r="V23" s="27">
        <v>415</v>
      </c>
      <c r="W23" s="27">
        <v>898</v>
      </c>
      <c r="X23" s="27">
        <v>458</v>
      </c>
      <c r="Y23" s="27">
        <v>440</v>
      </c>
      <c r="Z23" s="27"/>
      <c r="AB23" s="23"/>
      <c r="AC23" s="43" t="s">
        <v>275</v>
      </c>
      <c r="AD23" s="27">
        <f>140+2</f>
        <v>142</v>
      </c>
      <c r="AE23" s="27">
        <f>283+3</f>
        <v>286</v>
      </c>
      <c r="AF23" s="27">
        <f>136+2</f>
        <v>138</v>
      </c>
      <c r="AG23" s="27">
        <f>147+1</f>
        <v>148</v>
      </c>
      <c r="AH23" s="23"/>
      <c r="AI23" s="43"/>
      <c r="AJ23" s="27"/>
      <c r="AK23" s="27"/>
      <c r="AL23" s="27"/>
      <c r="AM23" s="27"/>
      <c r="AN23" s="23"/>
      <c r="AO23" s="43" t="s">
        <v>256</v>
      </c>
      <c r="AP23" s="27">
        <v>14</v>
      </c>
      <c r="AQ23" s="27">
        <v>32</v>
      </c>
      <c r="AR23" s="27">
        <v>15</v>
      </c>
      <c r="AS23" s="27">
        <v>17</v>
      </c>
      <c r="AT23" s="23"/>
      <c r="AU23" s="43" t="s">
        <v>278</v>
      </c>
      <c r="AV23" s="22">
        <v>33</v>
      </c>
      <c r="AW23" s="27">
        <v>72</v>
      </c>
      <c r="AX23" s="22">
        <v>38</v>
      </c>
      <c r="AY23" s="143">
        <v>34</v>
      </c>
    </row>
    <row r="24" spans="2:51">
      <c r="B24" s="19"/>
      <c r="C24" s="24" t="s">
        <v>302</v>
      </c>
      <c r="D24" s="49">
        <f>6+6+399+322+322+2</f>
        <v>1057</v>
      </c>
      <c r="E24" s="27">
        <f>13+11+776+632+711+2</f>
        <v>2145</v>
      </c>
      <c r="F24" s="27">
        <f>5+6+373+305+333+0</f>
        <v>1022</v>
      </c>
      <c r="G24" s="27">
        <f>8+5+403+327+378+2</f>
        <v>1123</v>
      </c>
      <c r="H24" s="264" t="s">
        <v>265</v>
      </c>
      <c r="I24" s="265"/>
      <c r="J24" s="185">
        <f>SUM(J26:J37)</f>
        <v>4597</v>
      </c>
      <c r="K24" s="185">
        <f>SUM(K26:K37)</f>
        <v>9074</v>
      </c>
      <c r="L24" s="185">
        <f>SUM(L26:L37)</f>
        <v>4393</v>
      </c>
      <c r="M24" s="185">
        <f>SUM(M26:M37)</f>
        <v>4681</v>
      </c>
      <c r="N24" s="23"/>
      <c r="O24" s="43" t="s">
        <v>259</v>
      </c>
      <c r="P24" s="27">
        <v>140</v>
      </c>
      <c r="Q24" s="27">
        <v>231</v>
      </c>
      <c r="R24" s="27">
        <v>108</v>
      </c>
      <c r="S24" s="27">
        <v>123</v>
      </c>
      <c r="T24" s="23"/>
      <c r="U24" s="43" t="s">
        <v>274</v>
      </c>
      <c r="V24" s="27">
        <v>287</v>
      </c>
      <c r="W24" s="27">
        <v>651</v>
      </c>
      <c r="X24" s="27">
        <v>337</v>
      </c>
      <c r="Y24" s="27">
        <v>314</v>
      </c>
      <c r="Z24" s="27"/>
      <c r="AB24" s="23"/>
      <c r="AC24" s="43" t="s">
        <v>283</v>
      </c>
      <c r="AD24" s="27">
        <v>192</v>
      </c>
      <c r="AE24" s="27">
        <v>469</v>
      </c>
      <c r="AF24" s="27">
        <v>229</v>
      </c>
      <c r="AG24" s="27">
        <v>240</v>
      </c>
      <c r="AH24" s="23"/>
      <c r="AI24" s="43" t="s">
        <v>262</v>
      </c>
      <c r="AJ24" s="27">
        <v>197</v>
      </c>
      <c r="AK24" s="27">
        <v>391</v>
      </c>
      <c r="AL24" s="27">
        <v>177</v>
      </c>
      <c r="AM24" s="27">
        <v>214</v>
      </c>
      <c r="AN24" s="23"/>
      <c r="AO24" s="43" t="s">
        <v>263</v>
      </c>
      <c r="AP24" s="27">
        <v>46</v>
      </c>
      <c r="AQ24" s="27">
        <v>96</v>
      </c>
      <c r="AR24" s="27">
        <v>42</v>
      </c>
      <c r="AS24" s="27">
        <v>54</v>
      </c>
      <c r="AT24" s="23"/>
      <c r="AU24" s="43" t="s">
        <v>285</v>
      </c>
      <c r="AV24" s="27">
        <v>86</v>
      </c>
      <c r="AW24" s="27">
        <v>115</v>
      </c>
      <c r="AX24" s="27">
        <v>70</v>
      </c>
      <c r="AY24" s="60">
        <v>45</v>
      </c>
    </row>
    <row r="25" spans="2:51">
      <c r="B25" s="19"/>
      <c r="C25" s="24" t="s">
        <v>307</v>
      </c>
      <c r="D25" s="49">
        <f>7+64+209</f>
        <v>280</v>
      </c>
      <c r="E25" s="27">
        <f>15+124+484</f>
        <v>623</v>
      </c>
      <c r="F25" s="27">
        <f>6+54+238</f>
        <v>298</v>
      </c>
      <c r="G25" s="27">
        <f>9+70+246</f>
        <v>325</v>
      </c>
      <c r="H25" s="23"/>
      <c r="I25" s="44"/>
      <c r="J25" s="27"/>
      <c r="K25" s="27"/>
      <c r="L25" s="27"/>
      <c r="M25" s="27"/>
      <c r="N25" s="23"/>
      <c r="O25" s="43" t="s">
        <v>266</v>
      </c>
      <c r="P25" s="27">
        <f>38+3+155+7+58+4</f>
        <v>265</v>
      </c>
      <c r="Q25" s="27">
        <f>57+6+409+8+81+15</f>
        <v>576</v>
      </c>
      <c r="R25" s="27">
        <f>27+1+194+2+38+5</f>
        <v>267</v>
      </c>
      <c r="S25" s="27">
        <f>30+5+215+6+43+10</f>
        <v>309</v>
      </c>
      <c r="T25" s="23"/>
      <c r="U25" s="43" t="s">
        <v>282</v>
      </c>
      <c r="V25" s="27">
        <f>195+22</f>
        <v>217</v>
      </c>
      <c r="W25" s="27">
        <f>350+45</f>
        <v>395</v>
      </c>
      <c r="X25" s="27">
        <f>187+20</f>
        <v>207</v>
      </c>
      <c r="Y25" s="27">
        <f>163+25</f>
        <v>188</v>
      </c>
      <c r="Z25" s="27"/>
      <c r="AB25" s="23"/>
      <c r="AC25" s="43"/>
      <c r="AD25" s="27"/>
      <c r="AE25" s="27"/>
      <c r="AF25" s="27"/>
      <c r="AG25" s="27"/>
      <c r="AH25" s="23"/>
      <c r="AI25" s="43" t="s">
        <v>269</v>
      </c>
      <c r="AJ25" s="27">
        <v>128</v>
      </c>
      <c r="AK25" s="27">
        <v>230</v>
      </c>
      <c r="AL25" s="27">
        <v>110</v>
      </c>
      <c r="AM25" s="27">
        <v>120</v>
      </c>
      <c r="AN25" s="23"/>
      <c r="AO25" s="43" t="s">
        <v>270</v>
      </c>
      <c r="AP25" s="27">
        <v>41</v>
      </c>
      <c r="AQ25" s="27">
        <v>84</v>
      </c>
      <c r="AR25" s="27">
        <v>43</v>
      </c>
      <c r="AS25" s="27">
        <v>41</v>
      </c>
      <c r="AT25" s="23"/>
      <c r="AU25" s="43" t="s">
        <v>290</v>
      </c>
      <c r="AV25" s="27">
        <v>5</v>
      </c>
      <c r="AW25" s="27">
        <v>11</v>
      </c>
      <c r="AX25" s="27">
        <v>6</v>
      </c>
      <c r="AY25" s="60">
        <v>5</v>
      </c>
    </row>
    <row r="26" spans="2:51" ht="12.75" customHeight="1">
      <c r="B26" s="19"/>
      <c r="C26" s="24" t="s">
        <v>314</v>
      </c>
      <c r="D26" s="49">
        <f>69+8</f>
        <v>77</v>
      </c>
      <c r="E26" s="27">
        <f>144+14</f>
        <v>158</v>
      </c>
      <c r="F26" s="27">
        <f>65+5</f>
        <v>70</v>
      </c>
      <c r="G26" s="27">
        <f>79+9</f>
        <v>88</v>
      </c>
      <c r="H26" s="23"/>
      <c r="I26" s="43" t="s">
        <v>280</v>
      </c>
      <c r="J26" s="27">
        <f>1+127</f>
        <v>128</v>
      </c>
      <c r="K26" s="27">
        <f>1+255</f>
        <v>256</v>
      </c>
      <c r="L26" s="27">
        <f>0+113</f>
        <v>113</v>
      </c>
      <c r="M26" s="27">
        <f>1+142</f>
        <v>143</v>
      </c>
      <c r="N26" s="23"/>
      <c r="O26" s="43" t="s">
        <v>273</v>
      </c>
      <c r="P26" s="27">
        <v>376</v>
      </c>
      <c r="Q26" s="27">
        <v>832</v>
      </c>
      <c r="R26" s="27">
        <v>423</v>
      </c>
      <c r="S26" s="27">
        <v>409</v>
      </c>
      <c r="T26" s="23"/>
      <c r="U26" s="43" t="s">
        <v>287</v>
      </c>
      <c r="V26" s="27">
        <f>81+549</f>
        <v>630</v>
      </c>
      <c r="W26" s="27">
        <f>200+1252</f>
        <v>1452</v>
      </c>
      <c r="X26" s="27">
        <f>95+616</f>
        <v>711</v>
      </c>
      <c r="Y26" s="27">
        <f>105+636</f>
        <v>741</v>
      </c>
      <c r="Z26" s="27"/>
      <c r="AB26" s="23"/>
      <c r="AC26" s="44"/>
      <c r="AH26" s="23"/>
      <c r="AI26" s="43" t="s">
        <v>276</v>
      </c>
      <c r="AJ26" s="27">
        <v>41</v>
      </c>
      <c r="AK26" s="27">
        <v>77</v>
      </c>
      <c r="AL26" s="27">
        <v>39</v>
      </c>
      <c r="AM26" s="27">
        <v>38</v>
      </c>
      <c r="AN26" s="23"/>
      <c r="AO26" s="43" t="s">
        <v>277</v>
      </c>
      <c r="AP26" s="27">
        <v>67</v>
      </c>
      <c r="AQ26" s="27">
        <v>127</v>
      </c>
      <c r="AR26" s="27">
        <v>63</v>
      </c>
      <c r="AS26" s="27">
        <v>64</v>
      </c>
      <c r="AT26" s="23"/>
      <c r="AU26" s="43" t="s">
        <v>301</v>
      </c>
      <c r="AV26" s="27">
        <v>39</v>
      </c>
      <c r="AW26" s="27">
        <v>76</v>
      </c>
      <c r="AX26" s="27">
        <v>34</v>
      </c>
      <c r="AY26" s="60">
        <v>42</v>
      </c>
    </row>
    <row r="27" spans="2:51">
      <c r="B27" s="19"/>
      <c r="C27" s="24" t="s">
        <v>335</v>
      </c>
      <c r="D27" s="49">
        <v>190</v>
      </c>
      <c r="E27" s="27">
        <v>282</v>
      </c>
      <c r="F27" s="27">
        <v>144</v>
      </c>
      <c r="G27" s="27">
        <v>138</v>
      </c>
      <c r="H27" s="23"/>
      <c r="I27" s="91" t="s">
        <v>76</v>
      </c>
      <c r="J27" s="22">
        <v>446</v>
      </c>
      <c r="K27" s="27">
        <v>793</v>
      </c>
      <c r="L27" s="22">
        <v>377</v>
      </c>
      <c r="M27" s="22">
        <v>416</v>
      </c>
      <c r="N27" s="23"/>
      <c r="O27" s="43" t="s">
        <v>281</v>
      </c>
      <c r="P27" s="27">
        <f>123+53+131</f>
        <v>307</v>
      </c>
      <c r="Q27" s="27">
        <f>256+108+296</f>
        <v>660</v>
      </c>
      <c r="R27" s="27">
        <f>123+54+135</f>
        <v>312</v>
      </c>
      <c r="S27" s="27">
        <f>133+54+161</f>
        <v>348</v>
      </c>
      <c r="T27" s="23"/>
      <c r="U27" s="43" t="s">
        <v>293</v>
      </c>
      <c r="V27" s="27">
        <v>279</v>
      </c>
      <c r="W27" s="27">
        <v>455</v>
      </c>
      <c r="X27" s="27">
        <v>203</v>
      </c>
      <c r="Y27" s="27">
        <v>252</v>
      </c>
      <c r="Z27" s="27"/>
      <c r="AB27" s="264" t="s">
        <v>298</v>
      </c>
      <c r="AC27" s="265"/>
      <c r="AD27" s="26">
        <f>SUM(AD29:AD38)</f>
        <v>1820</v>
      </c>
      <c r="AE27" s="26">
        <f>SUM(AE29:AE38)</f>
        <v>3447</v>
      </c>
      <c r="AF27" s="26">
        <f>SUM(AF29:AF38)</f>
        <v>1748</v>
      </c>
      <c r="AG27" s="26">
        <f>SUM(AG29:AG38)</f>
        <v>1699</v>
      </c>
      <c r="AH27" s="23"/>
      <c r="AI27" s="43" t="s">
        <v>284</v>
      </c>
      <c r="AJ27" s="27">
        <v>41</v>
      </c>
      <c r="AK27" s="27">
        <v>90</v>
      </c>
      <c r="AL27" s="27">
        <v>44</v>
      </c>
      <c r="AM27" s="27">
        <v>46</v>
      </c>
      <c r="AN27" s="23"/>
      <c r="AO27" s="43" t="s">
        <v>136</v>
      </c>
      <c r="AP27" s="27">
        <v>54</v>
      </c>
      <c r="AQ27" s="27">
        <v>96</v>
      </c>
      <c r="AR27" s="27">
        <v>44</v>
      </c>
      <c r="AS27" s="27">
        <v>52</v>
      </c>
      <c r="AT27" s="23"/>
      <c r="AU27" s="43" t="s">
        <v>306</v>
      </c>
      <c r="AV27" s="27">
        <v>61</v>
      </c>
      <c r="AW27" s="27">
        <v>137</v>
      </c>
      <c r="AX27" s="27">
        <v>57</v>
      </c>
      <c r="AY27" s="60">
        <v>80</v>
      </c>
    </row>
    <row r="28" spans="2:51" ht="12.75" customHeight="1">
      <c r="B28" s="19"/>
      <c r="C28" s="24" t="s">
        <v>343</v>
      </c>
      <c r="D28" s="49">
        <f>72+260</f>
        <v>332</v>
      </c>
      <c r="E28" s="27">
        <f>85+551</f>
        <v>636</v>
      </c>
      <c r="F28" s="27">
        <f>36+277</f>
        <v>313</v>
      </c>
      <c r="G28" s="27">
        <f>49+274</f>
        <v>323</v>
      </c>
      <c r="H28" s="23"/>
      <c r="I28" s="91" t="s">
        <v>80</v>
      </c>
      <c r="J28" s="22">
        <f>1+235+6</f>
        <v>242</v>
      </c>
      <c r="K28" s="27">
        <f>1+475+15</f>
        <v>491</v>
      </c>
      <c r="L28" s="22">
        <f>0+223+6</f>
        <v>229</v>
      </c>
      <c r="M28" s="22">
        <f>1+252+9</f>
        <v>262</v>
      </c>
      <c r="N28" s="23"/>
      <c r="O28" s="44"/>
      <c r="T28" s="23"/>
      <c r="U28" s="43" t="s">
        <v>303</v>
      </c>
      <c r="V28" s="27">
        <f>91+15</f>
        <v>106</v>
      </c>
      <c r="W28" s="27">
        <f>211+30</f>
        <v>241</v>
      </c>
      <c r="X28" s="27">
        <f>124+16</f>
        <v>140</v>
      </c>
      <c r="Y28" s="27">
        <f>87+14</f>
        <v>101</v>
      </c>
      <c r="Z28" s="27"/>
      <c r="AB28" s="23"/>
      <c r="AC28" s="44"/>
      <c r="AD28" s="27"/>
      <c r="AE28" s="27"/>
      <c r="AF28" s="27"/>
      <c r="AG28" s="27"/>
      <c r="AH28" s="23"/>
      <c r="AI28" s="43" t="s">
        <v>288</v>
      </c>
      <c r="AJ28" s="27">
        <f>135+2</f>
        <v>137</v>
      </c>
      <c r="AK28" s="27">
        <f>281+4</f>
        <v>285</v>
      </c>
      <c r="AL28" s="27">
        <f>132+1</f>
        <v>133</v>
      </c>
      <c r="AM28" s="27">
        <f>149+3</f>
        <v>152</v>
      </c>
      <c r="AN28" s="23"/>
      <c r="AO28" s="43" t="s">
        <v>289</v>
      </c>
      <c r="AP28" s="27">
        <v>80</v>
      </c>
      <c r="AQ28" s="27">
        <v>164</v>
      </c>
      <c r="AR28" s="27">
        <v>79</v>
      </c>
      <c r="AS28" s="27">
        <v>85</v>
      </c>
      <c r="AT28" s="23"/>
      <c r="AU28" s="43" t="s">
        <v>313</v>
      </c>
      <c r="AV28" s="27">
        <v>41</v>
      </c>
      <c r="AW28" s="27">
        <v>72</v>
      </c>
      <c r="AX28" s="27">
        <v>30</v>
      </c>
      <c r="AY28" s="60">
        <v>42</v>
      </c>
    </row>
    <row r="29" spans="2:51">
      <c r="B29" s="19"/>
      <c r="C29" s="24" t="s">
        <v>348</v>
      </c>
      <c r="D29" s="49">
        <f>473+1+3</f>
        <v>477</v>
      </c>
      <c r="E29" s="27">
        <f>1005+2+5</f>
        <v>1012</v>
      </c>
      <c r="F29" s="27">
        <f>481+0+3</f>
        <v>484</v>
      </c>
      <c r="G29" s="27">
        <f>524+2+2</f>
        <v>528</v>
      </c>
      <c r="H29" s="23"/>
      <c r="I29" s="43" t="s">
        <v>12</v>
      </c>
      <c r="J29" s="27">
        <f>79+69+32+182</f>
        <v>362</v>
      </c>
      <c r="K29" s="27">
        <f>140+138+55+389</f>
        <v>722</v>
      </c>
      <c r="L29" s="27">
        <f>80+68+33+180</f>
        <v>361</v>
      </c>
      <c r="M29" s="27">
        <f>60+70+22+209</f>
        <v>361</v>
      </c>
      <c r="N29" s="264" t="s">
        <v>297</v>
      </c>
      <c r="O29" s="265"/>
      <c r="P29" s="26">
        <f>SUM(P31:P41)</f>
        <v>4342</v>
      </c>
      <c r="Q29" s="26">
        <f>SUM(Q31:Q41)</f>
        <v>8942</v>
      </c>
      <c r="R29" s="26">
        <f>SUM(R31:R41)</f>
        <v>4420</v>
      </c>
      <c r="S29" s="26">
        <f>SUM(S31:S41)</f>
        <v>4522</v>
      </c>
      <c r="T29" s="23"/>
      <c r="U29" s="43" t="s">
        <v>309</v>
      </c>
      <c r="V29" s="27">
        <v>51</v>
      </c>
      <c r="W29" s="27">
        <v>114</v>
      </c>
      <c r="X29" s="27">
        <v>52</v>
      </c>
      <c r="Y29" s="27">
        <v>62</v>
      </c>
      <c r="Z29" s="27"/>
      <c r="AB29" s="23"/>
      <c r="AC29" s="43" t="s">
        <v>310</v>
      </c>
      <c r="AD29" s="27">
        <v>183</v>
      </c>
      <c r="AE29" s="27">
        <v>355</v>
      </c>
      <c r="AF29" s="27">
        <v>175</v>
      </c>
      <c r="AG29" s="27">
        <v>180</v>
      </c>
      <c r="AH29" s="23"/>
      <c r="AI29" s="43" t="s">
        <v>294</v>
      </c>
      <c r="AJ29" s="27">
        <v>126</v>
      </c>
      <c r="AK29" s="27">
        <v>284</v>
      </c>
      <c r="AL29" s="27">
        <v>139</v>
      </c>
      <c r="AM29" s="27">
        <v>145</v>
      </c>
      <c r="AN29" s="23"/>
      <c r="AO29" s="43" t="s">
        <v>295</v>
      </c>
      <c r="AP29" s="22">
        <v>102</v>
      </c>
      <c r="AQ29" s="27">
        <v>215</v>
      </c>
      <c r="AR29" s="27">
        <v>102</v>
      </c>
      <c r="AS29" s="22">
        <v>113</v>
      </c>
      <c r="AT29" s="23"/>
      <c r="AU29" s="43" t="s">
        <v>320</v>
      </c>
      <c r="AV29" s="27">
        <v>136</v>
      </c>
      <c r="AW29" s="27">
        <v>322</v>
      </c>
      <c r="AX29" s="27">
        <v>153</v>
      </c>
      <c r="AY29" s="60">
        <v>169</v>
      </c>
    </row>
    <row r="30" spans="2:51">
      <c r="B30" s="19"/>
      <c r="C30" s="19" t="s">
        <v>354</v>
      </c>
      <c r="D30" s="49">
        <v>55</v>
      </c>
      <c r="E30" s="27">
        <v>106</v>
      </c>
      <c r="F30" s="27">
        <v>47</v>
      </c>
      <c r="G30" s="27">
        <v>59</v>
      </c>
      <c r="H30" s="23"/>
      <c r="I30" s="43" t="s">
        <v>315</v>
      </c>
      <c r="J30" s="27">
        <f>116+26+58+436</f>
        <v>636</v>
      </c>
      <c r="K30" s="27">
        <f>240+43+112+843</f>
        <v>1238</v>
      </c>
      <c r="L30" s="27">
        <f>118+18+53+416</f>
        <v>605</v>
      </c>
      <c r="M30" s="27">
        <f>122+25+59+427</f>
        <v>633</v>
      </c>
      <c r="N30" s="23"/>
      <c r="O30" s="44"/>
      <c r="P30" s="27"/>
      <c r="Q30" s="27"/>
      <c r="R30" s="27"/>
      <c r="S30" s="27"/>
      <c r="T30" s="23"/>
      <c r="U30" s="43" t="s">
        <v>170</v>
      </c>
      <c r="V30" s="27">
        <v>90</v>
      </c>
      <c r="W30" s="27">
        <v>168</v>
      </c>
      <c r="X30" s="27">
        <v>74</v>
      </c>
      <c r="Y30" s="27">
        <v>94</v>
      </c>
      <c r="Z30" s="27"/>
      <c r="AB30" s="23"/>
      <c r="AC30" s="43" t="s">
        <v>317</v>
      </c>
      <c r="AD30" s="27">
        <v>88</v>
      </c>
      <c r="AE30" s="27">
        <v>191</v>
      </c>
      <c r="AF30" s="27">
        <v>91</v>
      </c>
      <c r="AG30" s="27">
        <v>100</v>
      </c>
      <c r="AH30" s="23"/>
      <c r="AI30" s="43" t="s">
        <v>299</v>
      </c>
      <c r="AJ30" s="27">
        <f>3+95</f>
        <v>98</v>
      </c>
      <c r="AK30" s="27">
        <f>7+218</f>
        <v>225</v>
      </c>
      <c r="AL30" s="27">
        <f>3+110</f>
        <v>113</v>
      </c>
      <c r="AM30" s="27">
        <f>4+108</f>
        <v>112</v>
      </c>
      <c r="AN30" s="23"/>
      <c r="AO30" s="43" t="s">
        <v>300</v>
      </c>
      <c r="AP30" s="27">
        <v>85</v>
      </c>
      <c r="AQ30" s="27">
        <v>164</v>
      </c>
      <c r="AR30" s="22">
        <v>80</v>
      </c>
      <c r="AS30" s="27">
        <v>84</v>
      </c>
      <c r="AT30" s="23"/>
      <c r="AU30" s="43" t="s">
        <v>327</v>
      </c>
      <c r="AV30" s="27">
        <v>245</v>
      </c>
      <c r="AW30" s="27">
        <v>507</v>
      </c>
      <c r="AX30" s="27">
        <v>239</v>
      </c>
      <c r="AY30" s="60">
        <v>268</v>
      </c>
    </row>
    <row r="31" spans="2:51">
      <c r="B31" s="19"/>
      <c r="C31" s="24" t="s">
        <v>264</v>
      </c>
      <c r="D31" s="23">
        <v>64</v>
      </c>
      <c r="E31" s="27">
        <v>95</v>
      </c>
      <c r="F31" s="22">
        <v>25</v>
      </c>
      <c r="G31" s="27">
        <v>70</v>
      </c>
      <c r="H31" s="23"/>
      <c r="I31" s="43" t="s">
        <v>321</v>
      </c>
      <c r="J31" s="27">
        <f>78+310+77+159+20</f>
        <v>644</v>
      </c>
      <c r="K31" s="27">
        <f>168+627+126+355+45</f>
        <v>1321</v>
      </c>
      <c r="L31" s="27">
        <f>79+299+65+174+17</f>
        <v>634</v>
      </c>
      <c r="M31" s="27">
        <f>89+328+61+181+28</f>
        <v>687</v>
      </c>
      <c r="N31" s="23"/>
      <c r="O31" s="43" t="s">
        <v>308</v>
      </c>
      <c r="P31" s="27">
        <v>51</v>
      </c>
      <c r="Q31" s="27">
        <v>101</v>
      </c>
      <c r="R31" s="27">
        <v>63</v>
      </c>
      <c r="S31" s="27">
        <v>38</v>
      </c>
      <c r="T31" s="23"/>
      <c r="U31" s="43" t="s">
        <v>323</v>
      </c>
      <c r="V31" s="27">
        <v>68</v>
      </c>
      <c r="W31" s="27">
        <v>122</v>
      </c>
      <c r="X31" s="27">
        <v>63</v>
      </c>
      <c r="Y31" s="27">
        <v>59</v>
      </c>
      <c r="Z31" s="27"/>
      <c r="AB31" s="23"/>
      <c r="AC31" s="43" t="s">
        <v>324</v>
      </c>
      <c r="AD31" s="27">
        <v>175</v>
      </c>
      <c r="AE31" s="27">
        <v>373</v>
      </c>
      <c r="AF31" s="27">
        <v>178</v>
      </c>
      <c r="AG31" s="27">
        <v>195</v>
      </c>
      <c r="AH31" s="23"/>
      <c r="AI31" s="43" t="s">
        <v>304</v>
      </c>
      <c r="AJ31" s="27">
        <v>52</v>
      </c>
      <c r="AK31" s="27">
        <v>90</v>
      </c>
      <c r="AL31" s="27">
        <v>40</v>
      </c>
      <c r="AM31" s="27">
        <v>50</v>
      </c>
      <c r="AN31" s="23"/>
      <c r="AO31" s="43" t="s">
        <v>312</v>
      </c>
      <c r="AP31" s="27">
        <v>166</v>
      </c>
      <c r="AQ31" s="27">
        <v>354</v>
      </c>
      <c r="AR31" s="27">
        <v>175</v>
      </c>
      <c r="AS31" s="27">
        <v>179</v>
      </c>
      <c r="AT31" s="23"/>
      <c r="AU31" s="43" t="s">
        <v>334</v>
      </c>
      <c r="AV31" s="27">
        <v>40</v>
      </c>
      <c r="AW31" s="27">
        <v>83</v>
      </c>
      <c r="AX31" s="27">
        <v>39</v>
      </c>
      <c r="AY31" s="60">
        <v>44</v>
      </c>
    </row>
    <row r="32" spans="2:51">
      <c r="B32" s="19"/>
      <c r="C32" s="24" t="s">
        <v>251</v>
      </c>
      <c r="D32" s="23">
        <f>25+8+203+118</f>
        <v>354</v>
      </c>
      <c r="E32" s="27">
        <f>53+26+383+240</f>
        <v>702</v>
      </c>
      <c r="F32" s="22">
        <f>24+13+184+109</f>
        <v>330</v>
      </c>
      <c r="G32" s="27">
        <f>29+13+199+131</f>
        <v>372</v>
      </c>
      <c r="H32" s="23"/>
      <c r="I32" s="43" t="s">
        <v>328</v>
      </c>
      <c r="J32" s="27">
        <f>1+13+202+59</f>
        <v>275</v>
      </c>
      <c r="K32" s="27">
        <f>1+34+396+94</f>
        <v>525</v>
      </c>
      <c r="L32" s="27">
        <f>1+19+196+45</f>
        <v>261</v>
      </c>
      <c r="M32" s="27">
        <f>0+15+200+49</f>
        <v>264</v>
      </c>
      <c r="N32" s="23"/>
      <c r="O32" s="43" t="s">
        <v>316</v>
      </c>
      <c r="P32" s="27">
        <f>6+700+73</f>
        <v>779</v>
      </c>
      <c r="Q32" s="27">
        <f>6+1468+165</f>
        <v>1639</v>
      </c>
      <c r="R32" s="27">
        <f>5+722+77</f>
        <v>804</v>
      </c>
      <c r="S32" s="27">
        <f>1+746+88</f>
        <v>835</v>
      </c>
      <c r="T32" s="23"/>
      <c r="U32" s="43" t="s">
        <v>330</v>
      </c>
      <c r="V32" s="27">
        <f>22+24</f>
        <v>46</v>
      </c>
      <c r="W32" s="27">
        <f>37+44</f>
        <v>81</v>
      </c>
      <c r="X32" s="27">
        <f>20+17</f>
        <v>37</v>
      </c>
      <c r="Y32" s="27">
        <f>17+27</f>
        <v>44</v>
      </c>
      <c r="Z32" s="27"/>
      <c r="AB32" s="23"/>
      <c r="AC32" s="43" t="s">
        <v>331</v>
      </c>
      <c r="AD32" s="27">
        <v>404</v>
      </c>
      <c r="AE32" s="27">
        <v>580</v>
      </c>
      <c r="AF32" s="27">
        <v>399</v>
      </c>
      <c r="AG32" s="27">
        <v>181</v>
      </c>
      <c r="AH32" s="23"/>
      <c r="AI32" s="43" t="s">
        <v>311</v>
      </c>
      <c r="AJ32" s="27">
        <v>115</v>
      </c>
      <c r="AK32" s="27">
        <v>231</v>
      </c>
      <c r="AL32" s="27">
        <v>114</v>
      </c>
      <c r="AM32" s="27">
        <v>117</v>
      </c>
      <c r="AN32" s="23"/>
      <c r="AO32" s="86" t="s">
        <v>319</v>
      </c>
      <c r="AP32" s="27">
        <v>123</v>
      </c>
      <c r="AQ32" s="27">
        <v>275</v>
      </c>
      <c r="AR32" s="27">
        <v>135</v>
      </c>
      <c r="AS32" s="27">
        <v>140</v>
      </c>
      <c r="AT32" s="23"/>
      <c r="AU32" s="43" t="s">
        <v>342</v>
      </c>
      <c r="AV32" s="27">
        <v>93</v>
      </c>
      <c r="AW32" s="27">
        <v>172</v>
      </c>
      <c r="AX32" s="27">
        <v>70</v>
      </c>
      <c r="AY32" s="60">
        <v>102</v>
      </c>
    </row>
    <row r="33" spans="2:51">
      <c r="B33" s="19"/>
      <c r="C33" s="25" t="s">
        <v>258</v>
      </c>
      <c r="D33" s="23">
        <v>44</v>
      </c>
      <c r="E33" s="27">
        <v>97</v>
      </c>
      <c r="F33" s="22">
        <v>41</v>
      </c>
      <c r="G33" s="27">
        <v>56</v>
      </c>
      <c r="H33" s="23"/>
      <c r="I33" s="43" t="s">
        <v>336</v>
      </c>
      <c r="J33" s="27">
        <f>2+4+452</f>
        <v>458</v>
      </c>
      <c r="K33" s="27">
        <f>2+9+819</f>
        <v>830</v>
      </c>
      <c r="L33" s="27">
        <f>1+3+397</f>
        <v>401</v>
      </c>
      <c r="M33" s="27">
        <f>1+6+422</f>
        <v>429</v>
      </c>
      <c r="N33" s="23"/>
      <c r="O33" s="43" t="s">
        <v>322</v>
      </c>
      <c r="P33" s="27">
        <v>501</v>
      </c>
      <c r="Q33" s="27">
        <v>965</v>
      </c>
      <c r="R33" s="27">
        <v>454</v>
      </c>
      <c r="S33" s="27">
        <v>511</v>
      </c>
      <c r="T33" s="23"/>
      <c r="U33" s="43" t="s">
        <v>338</v>
      </c>
      <c r="V33" s="27">
        <v>367</v>
      </c>
      <c r="W33" s="27">
        <v>635</v>
      </c>
      <c r="X33" s="27">
        <v>309</v>
      </c>
      <c r="Y33" s="27">
        <v>326</v>
      </c>
      <c r="Z33" s="27"/>
      <c r="AB33" s="23"/>
      <c r="AC33" s="43" t="s">
        <v>339</v>
      </c>
      <c r="AD33" s="27">
        <v>313</v>
      </c>
      <c r="AE33" s="27">
        <v>680</v>
      </c>
      <c r="AF33" s="27">
        <v>303</v>
      </c>
      <c r="AG33" s="27">
        <v>377</v>
      </c>
      <c r="AH33" s="23"/>
      <c r="AI33" s="43" t="s">
        <v>318</v>
      </c>
      <c r="AJ33" s="27">
        <v>97</v>
      </c>
      <c r="AK33" s="27">
        <v>201</v>
      </c>
      <c r="AL33" s="27">
        <v>96</v>
      </c>
      <c r="AM33" s="27">
        <v>105</v>
      </c>
      <c r="AN33" s="23"/>
      <c r="AO33" s="43" t="s">
        <v>326</v>
      </c>
      <c r="AP33" s="27">
        <v>67</v>
      </c>
      <c r="AQ33" s="27">
        <v>132</v>
      </c>
      <c r="AR33" s="27">
        <v>65</v>
      </c>
      <c r="AS33" s="27">
        <v>67</v>
      </c>
      <c r="AT33" s="23"/>
      <c r="AU33" s="43" t="s">
        <v>296</v>
      </c>
      <c r="AV33" s="27">
        <v>114</v>
      </c>
      <c r="AW33" s="27">
        <v>247</v>
      </c>
      <c r="AX33" s="27">
        <v>109</v>
      </c>
      <c r="AY33" s="60">
        <v>138</v>
      </c>
    </row>
    <row r="34" spans="2:51">
      <c r="B34" s="19"/>
      <c r="C34" s="24" t="s">
        <v>359</v>
      </c>
      <c r="D34" s="49">
        <v>175</v>
      </c>
      <c r="E34" s="27">
        <v>368</v>
      </c>
      <c r="F34" s="27">
        <v>176</v>
      </c>
      <c r="G34" s="27">
        <v>192</v>
      </c>
      <c r="H34" s="23"/>
      <c r="I34" s="43" t="s">
        <v>127</v>
      </c>
      <c r="J34" s="27">
        <f>6+97+195+73+14</f>
        <v>385</v>
      </c>
      <c r="K34" s="27">
        <f>23+201+399+151+21</f>
        <v>795</v>
      </c>
      <c r="L34" s="27">
        <f>11+91+191+77+11</f>
        <v>381</v>
      </c>
      <c r="M34" s="27">
        <f>12+110+208+74+10</f>
        <v>414</v>
      </c>
      <c r="N34" s="23"/>
      <c r="O34" s="43" t="s">
        <v>329</v>
      </c>
      <c r="P34" s="27">
        <v>465</v>
      </c>
      <c r="Q34" s="27">
        <v>926</v>
      </c>
      <c r="R34" s="27">
        <v>468</v>
      </c>
      <c r="S34" s="27">
        <v>458</v>
      </c>
      <c r="T34" s="23"/>
      <c r="U34" s="43" t="s">
        <v>345</v>
      </c>
      <c r="V34" s="27">
        <v>619</v>
      </c>
      <c r="W34" s="27">
        <v>1232</v>
      </c>
      <c r="X34" s="27">
        <v>603</v>
      </c>
      <c r="Y34" s="27">
        <v>629</v>
      </c>
      <c r="Z34" s="27"/>
      <c r="AB34" s="23"/>
      <c r="AC34" s="43" t="s">
        <v>346</v>
      </c>
      <c r="AD34" s="27">
        <v>80</v>
      </c>
      <c r="AE34" s="27">
        <v>152</v>
      </c>
      <c r="AF34" s="27">
        <v>63</v>
      </c>
      <c r="AG34" s="27">
        <v>89</v>
      </c>
      <c r="AH34" s="23"/>
      <c r="AI34" s="43" t="s">
        <v>325</v>
      </c>
      <c r="AJ34" s="27">
        <v>48</v>
      </c>
      <c r="AK34" s="27">
        <v>101</v>
      </c>
      <c r="AL34" s="27">
        <v>47</v>
      </c>
      <c r="AM34" s="27">
        <v>54</v>
      </c>
      <c r="AN34" s="23"/>
      <c r="AO34" s="43" t="s">
        <v>333</v>
      </c>
      <c r="AP34" s="27">
        <f>2+25</f>
        <v>27</v>
      </c>
      <c r="AQ34" s="27">
        <f>4+49</f>
        <v>53</v>
      </c>
      <c r="AR34" s="27">
        <f>1+19</f>
        <v>20</v>
      </c>
      <c r="AS34" s="27">
        <f>3+30</f>
        <v>33</v>
      </c>
      <c r="AT34" s="23"/>
      <c r="AU34" s="43" t="s">
        <v>513</v>
      </c>
      <c r="AV34" s="27">
        <v>343</v>
      </c>
      <c r="AW34" s="27">
        <v>533</v>
      </c>
      <c r="AX34" s="27">
        <v>210</v>
      </c>
      <c r="AY34" s="60">
        <v>323</v>
      </c>
    </row>
    <row r="35" spans="2:51">
      <c r="B35" s="19"/>
      <c r="C35" s="19" t="s">
        <v>481</v>
      </c>
      <c r="D35" s="49">
        <v>147</v>
      </c>
      <c r="E35" s="27">
        <v>404</v>
      </c>
      <c r="F35" s="27">
        <v>200</v>
      </c>
      <c r="G35" s="27">
        <v>204</v>
      </c>
      <c r="H35" s="23"/>
      <c r="I35" s="43" t="s">
        <v>130</v>
      </c>
      <c r="J35" s="27">
        <f>168+223+76+300+1</f>
        <v>768</v>
      </c>
      <c r="K35" s="27">
        <f>284+504+209+597+3</f>
        <v>1597</v>
      </c>
      <c r="L35" s="27">
        <f>145+257+97+283+2</f>
        <v>784</v>
      </c>
      <c r="M35" s="27">
        <f>139+247+112+314+1</f>
        <v>813</v>
      </c>
      <c r="N35" s="23"/>
      <c r="O35" s="43" t="s">
        <v>337</v>
      </c>
      <c r="P35" s="27">
        <v>96</v>
      </c>
      <c r="Q35" s="27">
        <v>196</v>
      </c>
      <c r="R35" s="27">
        <v>97</v>
      </c>
      <c r="S35" s="27">
        <v>99</v>
      </c>
      <c r="T35" s="23"/>
      <c r="U35" s="43" t="s">
        <v>350</v>
      </c>
      <c r="V35" s="27">
        <v>14</v>
      </c>
      <c r="W35" s="27">
        <v>30</v>
      </c>
      <c r="X35" s="27">
        <v>19</v>
      </c>
      <c r="Y35" s="27">
        <v>11</v>
      </c>
      <c r="Z35" s="27"/>
      <c r="AB35" s="23"/>
      <c r="AC35" s="43" t="s">
        <v>351</v>
      </c>
      <c r="AD35" s="27">
        <v>105</v>
      </c>
      <c r="AE35" s="27">
        <v>177</v>
      </c>
      <c r="AF35" s="27">
        <v>97</v>
      </c>
      <c r="AG35" s="27">
        <v>80</v>
      </c>
      <c r="AH35" s="23"/>
      <c r="AI35" s="43" t="s">
        <v>332</v>
      </c>
      <c r="AJ35" s="27">
        <v>50</v>
      </c>
      <c r="AK35" s="27">
        <v>108</v>
      </c>
      <c r="AL35" s="27">
        <v>49</v>
      </c>
      <c r="AM35" s="27">
        <v>59</v>
      </c>
      <c r="AN35" s="23"/>
      <c r="AO35" s="43" t="s">
        <v>341</v>
      </c>
      <c r="AP35" s="27">
        <f>1+57</f>
        <v>58</v>
      </c>
      <c r="AQ35" s="27">
        <f>3+127</f>
        <v>130</v>
      </c>
      <c r="AR35" s="27">
        <f>2+65</f>
        <v>67</v>
      </c>
      <c r="AS35" s="27">
        <f>1+62</f>
        <v>63</v>
      </c>
      <c r="AT35" s="23"/>
      <c r="AU35" s="43"/>
      <c r="AV35" s="27"/>
      <c r="AW35" s="27"/>
      <c r="AX35" s="27"/>
      <c r="AY35" s="60"/>
    </row>
    <row r="36" spans="2:51">
      <c r="B36" s="19"/>
      <c r="C36" s="24" t="s">
        <v>471</v>
      </c>
      <c r="D36" s="49">
        <v>213</v>
      </c>
      <c r="E36" s="27">
        <v>427</v>
      </c>
      <c r="F36" s="27">
        <v>202</v>
      </c>
      <c r="G36" s="27">
        <v>225</v>
      </c>
      <c r="H36" s="23"/>
      <c r="I36" s="43" t="s">
        <v>286</v>
      </c>
      <c r="J36" s="27">
        <f>72+19</f>
        <v>91</v>
      </c>
      <c r="K36" s="27">
        <f>130+46</f>
        <v>176</v>
      </c>
      <c r="L36" s="27">
        <f>57+26</f>
        <v>83</v>
      </c>
      <c r="M36" s="27">
        <f>73+20</f>
        <v>93</v>
      </c>
      <c r="N36" s="23"/>
      <c r="O36" s="43" t="s">
        <v>344</v>
      </c>
      <c r="P36" s="27">
        <f>213+392</f>
        <v>605</v>
      </c>
      <c r="Q36" s="27">
        <f>363+802</f>
        <v>1165</v>
      </c>
      <c r="R36" s="27">
        <f>204+421</f>
        <v>625</v>
      </c>
      <c r="S36" s="27">
        <f>159+381</f>
        <v>540</v>
      </c>
      <c r="T36" s="23"/>
      <c r="U36" s="43" t="s">
        <v>356</v>
      </c>
      <c r="V36" s="27">
        <v>231</v>
      </c>
      <c r="W36" s="27">
        <v>458</v>
      </c>
      <c r="X36" s="27">
        <v>218</v>
      </c>
      <c r="Y36" s="27">
        <v>240</v>
      </c>
      <c r="Z36" s="27"/>
      <c r="AB36" s="23"/>
      <c r="AC36" s="43" t="s">
        <v>357</v>
      </c>
      <c r="AD36" s="27">
        <v>272</v>
      </c>
      <c r="AE36" s="27">
        <v>555</v>
      </c>
      <c r="AF36" s="27">
        <v>258</v>
      </c>
      <c r="AG36" s="27">
        <v>297</v>
      </c>
      <c r="AH36" s="23"/>
      <c r="AI36" s="43" t="s">
        <v>340</v>
      </c>
      <c r="AJ36" s="27">
        <v>48</v>
      </c>
      <c r="AK36" s="27">
        <v>94</v>
      </c>
      <c r="AL36" s="27">
        <v>46</v>
      </c>
      <c r="AM36" s="27">
        <v>48</v>
      </c>
      <c r="AN36" s="23"/>
      <c r="AO36" s="43" t="s">
        <v>347</v>
      </c>
      <c r="AP36" s="27">
        <v>113</v>
      </c>
      <c r="AQ36" s="27">
        <v>225</v>
      </c>
      <c r="AR36" s="27">
        <v>108</v>
      </c>
      <c r="AS36" s="27">
        <v>117</v>
      </c>
      <c r="AT36" s="23"/>
      <c r="AU36" s="43"/>
      <c r="AV36" s="27"/>
      <c r="AW36" s="27"/>
      <c r="AX36" s="27"/>
      <c r="AY36" s="60"/>
    </row>
    <row r="37" spans="2:51" ht="12.75" customHeight="1">
      <c r="B37" s="19"/>
      <c r="C37" s="19"/>
      <c r="D37" s="49"/>
      <c r="E37" s="27"/>
      <c r="F37" s="27"/>
      <c r="G37" s="27"/>
      <c r="H37" s="23"/>
      <c r="I37" s="43" t="s">
        <v>292</v>
      </c>
      <c r="J37" s="27">
        <f>157+5</f>
        <v>162</v>
      </c>
      <c r="K37" s="27">
        <f>320+10</f>
        <v>330</v>
      </c>
      <c r="L37" s="27">
        <f>158+6</f>
        <v>164</v>
      </c>
      <c r="M37" s="27">
        <f>162+4</f>
        <v>166</v>
      </c>
      <c r="N37" s="23"/>
      <c r="O37" s="43" t="s">
        <v>349</v>
      </c>
      <c r="P37" s="27">
        <f>289+42</f>
        <v>331</v>
      </c>
      <c r="Q37" s="27">
        <f>650+85</f>
        <v>735</v>
      </c>
      <c r="R37" s="27">
        <f>314+45</f>
        <v>359</v>
      </c>
      <c r="S37" s="27">
        <f>336+40</f>
        <v>376</v>
      </c>
      <c r="T37" s="23"/>
      <c r="U37" s="43" t="s">
        <v>361</v>
      </c>
      <c r="V37" s="27">
        <v>343</v>
      </c>
      <c r="W37" s="27">
        <v>343</v>
      </c>
      <c r="X37" s="27">
        <v>306</v>
      </c>
      <c r="Y37" s="27">
        <v>37</v>
      </c>
      <c r="Z37" s="27"/>
      <c r="AB37" s="23"/>
      <c r="AC37" s="43" t="s">
        <v>362</v>
      </c>
      <c r="AD37" s="27">
        <v>142</v>
      </c>
      <c r="AE37" s="27">
        <v>290</v>
      </c>
      <c r="AF37" s="27">
        <v>139</v>
      </c>
      <c r="AG37" s="27">
        <v>151</v>
      </c>
      <c r="AH37" s="23"/>
      <c r="AI37" s="43" t="s">
        <v>177</v>
      </c>
      <c r="AJ37" s="27">
        <v>29</v>
      </c>
      <c r="AK37" s="27">
        <v>51</v>
      </c>
      <c r="AL37" s="27">
        <v>24</v>
      </c>
      <c r="AM37" s="27">
        <v>27</v>
      </c>
      <c r="AN37" s="23"/>
      <c r="AO37" s="43" t="s">
        <v>353</v>
      </c>
      <c r="AP37" s="27">
        <v>71</v>
      </c>
      <c r="AQ37" s="27">
        <v>152</v>
      </c>
      <c r="AR37" s="27">
        <v>74</v>
      </c>
      <c r="AS37" s="27">
        <v>78</v>
      </c>
      <c r="AT37" s="23"/>
      <c r="AU37" s="44"/>
      <c r="AV37" s="27"/>
      <c r="AW37" s="27"/>
      <c r="AX37" s="27"/>
      <c r="AY37" s="60"/>
    </row>
    <row r="38" spans="2:51" ht="12.75" customHeight="1">
      <c r="B38" s="268" t="s">
        <v>482</v>
      </c>
      <c r="C38" s="278"/>
      <c r="D38" s="61">
        <f>SUM(D40:D49,J5:J21)</f>
        <v>5540</v>
      </c>
      <c r="E38" s="26">
        <f>SUM(E40:E49,K5:K21)</f>
        <v>11160</v>
      </c>
      <c r="F38" s="26">
        <f>SUM(F40:F49,L5:L21)</f>
        <v>5249</v>
      </c>
      <c r="G38" s="26">
        <f>SUM(G40:G49,M5:M21)</f>
        <v>5911</v>
      </c>
      <c r="H38" s="23"/>
      <c r="I38" s="44"/>
      <c r="N38" s="23"/>
      <c r="O38" s="43" t="s">
        <v>355</v>
      </c>
      <c r="P38" s="27">
        <f>581+2+9</f>
        <v>592</v>
      </c>
      <c r="Q38" s="27">
        <f>1372+2+22</f>
        <v>1396</v>
      </c>
      <c r="R38" s="27">
        <f>689+1+8</f>
        <v>698</v>
      </c>
      <c r="S38" s="27">
        <f>683+1+14</f>
        <v>698</v>
      </c>
      <c r="T38" s="23"/>
      <c r="U38" s="43" t="s">
        <v>366</v>
      </c>
      <c r="V38" s="27">
        <v>348</v>
      </c>
      <c r="W38" s="27">
        <v>348</v>
      </c>
      <c r="X38" s="27">
        <v>229</v>
      </c>
      <c r="Y38" s="27">
        <v>119</v>
      </c>
      <c r="Z38" s="27"/>
      <c r="AB38" s="23"/>
      <c r="AC38" s="43" t="s">
        <v>367</v>
      </c>
      <c r="AD38" s="27">
        <f>3+55</f>
        <v>58</v>
      </c>
      <c r="AE38" s="27">
        <f>4+90</f>
        <v>94</v>
      </c>
      <c r="AF38" s="27">
        <f>2+43</f>
        <v>45</v>
      </c>
      <c r="AG38" s="27">
        <f>2+47</f>
        <v>49</v>
      </c>
      <c r="AH38" s="23"/>
      <c r="AI38" s="43" t="s">
        <v>352</v>
      </c>
      <c r="AJ38" s="27">
        <f>283+320+341+305</f>
        <v>1249</v>
      </c>
      <c r="AK38" s="27">
        <f>654+795+804+669</f>
        <v>2922</v>
      </c>
      <c r="AL38" s="27">
        <f>325+402+387+317</f>
        <v>1431</v>
      </c>
      <c r="AM38" s="27">
        <f>329+393+417+352</f>
        <v>1491</v>
      </c>
      <c r="AN38" s="23"/>
      <c r="AO38" s="43" t="s">
        <v>358</v>
      </c>
      <c r="AP38" s="27">
        <v>100</v>
      </c>
      <c r="AQ38" s="27">
        <v>214</v>
      </c>
      <c r="AR38" s="27">
        <v>108</v>
      </c>
      <c r="AS38" s="27">
        <v>106</v>
      </c>
      <c r="AT38" s="23"/>
      <c r="AU38" s="44"/>
      <c r="AV38" s="27"/>
      <c r="AW38" s="27"/>
      <c r="AX38" s="27"/>
      <c r="AY38" s="60"/>
    </row>
    <row r="39" spans="2:51" ht="12.75" customHeight="1">
      <c r="B39" s="24"/>
      <c r="C39" s="24"/>
      <c r="D39" s="61"/>
      <c r="E39" s="26"/>
      <c r="F39" s="26"/>
      <c r="G39" s="26"/>
      <c r="H39" s="264" t="s">
        <v>364</v>
      </c>
      <c r="I39" s="278"/>
      <c r="J39" s="26">
        <f>SUM(J41:J49,P5:P6)</f>
        <v>2722</v>
      </c>
      <c r="K39" s="26">
        <f>SUM(K41:K49,Q5:Q6)</f>
        <v>5369</v>
      </c>
      <c r="L39" s="26">
        <f>SUM(L41:L49,R5:R6)</f>
        <v>2564</v>
      </c>
      <c r="M39" s="26">
        <f>SUM(M41:M49,S5:S6)</f>
        <v>2805</v>
      </c>
      <c r="N39" s="23"/>
      <c r="O39" s="43" t="s">
        <v>360</v>
      </c>
      <c r="P39" s="27">
        <f>38+187+54</f>
        <v>279</v>
      </c>
      <c r="Q39" s="27">
        <f>58+393+135</f>
        <v>586</v>
      </c>
      <c r="R39" s="27">
        <f>19+207+66</f>
        <v>292</v>
      </c>
      <c r="S39" s="27">
        <f>39+186+69</f>
        <v>294</v>
      </c>
      <c r="T39" s="23"/>
      <c r="U39" s="43" t="s">
        <v>371</v>
      </c>
      <c r="V39" s="27">
        <v>88</v>
      </c>
      <c r="W39" s="27">
        <v>119</v>
      </c>
      <c r="X39" s="27">
        <v>87</v>
      </c>
      <c r="Y39" s="27">
        <v>32</v>
      </c>
      <c r="Z39" s="27"/>
      <c r="AB39" s="23"/>
      <c r="AC39" s="43"/>
      <c r="AD39" s="27"/>
      <c r="AE39" s="27"/>
      <c r="AF39" s="27"/>
      <c r="AG39" s="27"/>
      <c r="AH39" s="23"/>
      <c r="AJ39" s="61"/>
      <c r="AK39" s="26"/>
      <c r="AL39" s="26"/>
      <c r="AM39" s="26"/>
      <c r="AN39" s="23"/>
      <c r="AO39" s="43" t="s">
        <v>363</v>
      </c>
      <c r="AP39" s="27">
        <v>36</v>
      </c>
      <c r="AQ39" s="27">
        <v>73</v>
      </c>
      <c r="AR39" s="27">
        <v>36</v>
      </c>
      <c r="AS39" s="197">
        <v>37</v>
      </c>
      <c r="AT39" s="23"/>
      <c r="AU39" s="44"/>
      <c r="AV39" s="27"/>
      <c r="AW39" s="27"/>
      <c r="AX39" s="27"/>
      <c r="AY39" s="60"/>
    </row>
    <row r="40" spans="2:51" ht="12.75" customHeight="1">
      <c r="B40" s="19"/>
      <c r="C40" s="24" t="s">
        <v>377</v>
      </c>
      <c r="D40" s="49">
        <f>2+340+164+160+254+244+60+5+1+19</f>
        <v>1249</v>
      </c>
      <c r="E40" s="27">
        <f>8+721+375+361+606+517+127+15+3+42</f>
        <v>2775</v>
      </c>
      <c r="F40" s="27">
        <f>3+332+176+170+297+240+63+8+1+18</f>
        <v>1308</v>
      </c>
      <c r="G40" s="27">
        <f>5+389+199+191+309+277+64+7+2+24</f>
        <v>1467</v>
      </c>
      <c r="H40" s="23"/>
      <c r="I40" s="44"/>
      <c r="J40" s="27"/>
      <c r="K40" s="27"/>
      <c r="L40" s="27"/>
      <c r="M40" s="27"/>
      <c r="N40" s="23"/>
      <c r="O40" s="43" t="s">
        <v>365</v>
      </c>
      <c r="P40" s="27">
        <f>270+61</f>
        <v>331</v>
      </c>
      <c r="Q40" s="27">
        <f>527+119</f>
        <v>646</v>
      </c>
      <c r="R40" s="27">
        <f>230+64</f>
        <v>294</v>
      </c>
      <c r="S40" s="27">
        <f>297+55</f>
        <v>352</v>
      </c>
      <c r="T40" s="23"/>
      <c r="U40" s="43" t="s">
        <v>469</v>
      </c>
      <c r="V40" s="27">
        <v>429</v>
      </c>
      <c r="W40" s="27">
        <v>895</v>
      </c>
      <c r="X40" s="27">
        <v>423</v>
      </c>
      <c r="Y40" s="27">
        <v>472</v>
      </c>
      <c r="Z40" s="27"/>
      <c r="AB40" s="23"/>
      <c r="AC40" s="44"/>
      <c r="AH40" s="23"/>
      <c r="AI40" s="44"/>
      <c r="AJ40" s="27"/>
      <c r="AK40" s="27"/>
      <c r="AL40" s="27"/>
      <c r="AM40" s="27"/>
      <c r="AN40" s="23"/>
      <c r="AO40" s="43" t="s">
        <v>369</v>
      </c>
      <c r="AP40" s="49">
        <v>26</v>
      </c>
      <c r="AQ40" s="27">
        <v>61</v>
      </c>
      <c r="AR40" s="27">
        <v>28</v>
      </c>
      <c r="AS40" s="44">
        <v>33</v>
      </c>
      <c r="AT40" s="23"/>
      <c r="AU40" s="44"/>
      <c r="AV40" s="27"/>
      <c r="AW40" s="27"/>
      <c r="AX40" s="27"/>
      <c r="AY40" s="60"/>
    </row>
    <row r="41" spans="2:51" ht="12.75" customHeight="1" thickBot="1">
      <c r="B41" s="19"/>
      <c r="C41" s="24" t="s">
        <v>381</v>
      </c>
      <c r="D41" s="23">
        <f>192+265+183+90</f>
        <v>730</v>
      </c>
      <c r="E41" s="27">
        <f>416+628+424+171</f>
        <v>1639</v>
      </c>
      <c r="F41" s="27">
        <f>195+308+196+86</f>
        <v>785</v>
      </c>
      <c r="G41" s="27">
        <f>221+320+228+85</f>
        <v>854</v>
      </c>
      <c r="H41" s="23"/>
      <c r="I41" s="43" t="s">
        <v>373</v>
      </c>
      <c r="J41" s="27">
        <f>64+41</f>
        <v>105</v>
      </c>
      <c r="K41" s="27">
        <f>114+73</f>
        <v>187</v>
      </c>
      <c r="L41" s="27">
        <f>47+34</f>
        <v>81</v>
      </c>
      <c r="M41" s="27">
        <f>67+39</f>
        <v>106</v>
      </c>
      <c r="N41" s="23"/>
      <c r="O41" s="43" t="s">
        <v>370</v>
      </c>
      <c r="P41" s="27">
        <f>288+3+21</f>
        <v>312</v>
      </c>
      <c r="Q41" s="27">
        <f>543+4+40</f>
        <v>587</v>
      </c>
      <c r="R41" s="27">
        <f>245+2+19</f>
        <v>266</v>
      </c>
      <c r="S41" s="27">
        <f>298+2+21</f>
        <v>321</v>
      </c>
      <c r="T41" s="23"/>
      <c r="U41" s="43" t="s">
        <v>470</v>
      </c>
      <c r="V41" s="27">
        <v>52</v>
      </c>
      <c r="W41" s="27">
        <v>71</v>
      </c>
      <c r="X41" s="27">
        <v>44</v>
      </c>
      <c r="Y41" s="27">
        <v>27</v>
      </c>
      <c r="Z41" s="27"/>
      <c r="AA41" s="19"/>
      <c r="AB41" s="264" t="s">
        <v>376</v>
      </c>
      <c r="AC41" s="278"/>
      <c r="AD41" s="26">
        <f>SUM(AD43:AD49,AJ5:AJ19)</f>
        <v>3860</v>
      </c>
      <c r="AE41" s="26">
        <f>SUM(AE43:AE49,AK5:AK19)</f>
        <v>8568</v>
      </c>
      <c r="AF41" s="26">
        <f>SUM(AF43:AF49,AL5:AL19)</f>
        <v>4025</v>
      </c>
      <c r="AG41" s="26">
        <f>SUM(AG43:AG49,AM5:AM19)</f>
        <v>4543</v>
      </c>
      <c r="AH41" s="264" t="s">
        <v>368</v>
      </c>
      <c r="AI41" s="265"/>
      <c r="AJ41" s="26">
        <f>SUM(AJ43:AJ49,AP5:AP12)</f>
        <v>1007</v>
      </c>
      <c r="AK41" s="26">
        <f>SUM(AK43:AK49,AQ5:AQ12)</f>
        <v>1890</v>
      </c>
      <c r="AL41" s="26">
        <f>SUM(AL43:AL49,AR5:AR12)</f>
        <v>861</v>
      </c>
      <c r="AM41" s="26">
        <f>SUM(AM43:AM49,AS5:AS12)</f>
        <v>1029</v>
      </c>
      <c r="AN41" s="23"/>
      <c r="AO41" s="24" t="s">
        <v>372</v>
      </c>
      <c r="AP41" s="23">
        <f>6+56</f>
        <v>62</v>
      </c>
      <c r="AQ41" s="19">
        <f>7+102</f>
        <v>109</v>
      </c>
      <c r="AR41" s="19">
        <f>4+50</f>
        <v>54</v>
      </c>
      <c r="AS41" s="44">
        <f>3+52</f>
        <v>55</v>
      </c>
      <c r="AT41" s="19"/>
      <c r="AU41" s="44"/>
      <c r="AV41" s="19"/>
      <c r="AW41" s="19"/>
      <c r="AX41" s="19"/>
      <c r="AY41" s="143"/>
    </row>
    <row r="42" spans="2:51" ht="12.75" customHeight="1">
      <c r="B42" s="19"/>
      <c r="C42" s="24" t="s">
        <v>145</v>
      </c>
      <c r="D42" s="23">
        <f>37+181+36</f>
        <v>254</v>
      </c>
      <c r="E42" s="27">
        <f>78+398+79</f>
        <v>555</v>
      </c>
      <c r="F42" s="19">
        <f>43+186+37</f>
        <v>266</v>
      </c>
      <c r="G42" s="19">
        <f>35+212+42</f>
        <v>289</v>
      </c>
      <c r="H42" s="23"/>
      <c r="I42" s="43" t="s">
        <v>375</v>
      </c>
      <c r="J42" s="27">
        <f>8+102+1</f>
        <v>111</v>
      </c>
      <c r="K42" s="27">
        <f>21+171+2</f>
        <v>194</v>
      </c>
      <c r="L42" s="27">
        <f>9+75+1</f>
        <v>85</v>
      </c>
      <c r="M42" s="27">
        <f>12+96+1</f>
        <v>109</v>
      </c>
      <c r="N42" s="23"/>
      <c r="O42" s="44"/>
      <c r="T42" s="23"/>
      <c r="U42" s="44"/>
      <c r="AA42" s="19"/>
      <c r="AB42" s="23"/>
      <c r="AC42" s="44"/>
      <c r="AD42" s="27"/>
      <c r="AE42" s="27"/>
      <c r="AF42" s="27"/>
      <c r="AG42" s="27"/>
      <c r="AH42" s="23"/>
      <c r="AI42" s="43"/>
      <c r="AJ42" s="27"/>
      <c r="AK42" s="27"/>
      <c r="AL42" s="27"/>
      <c r="AM42" s="27"/>
      <c r="AN42" s="206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</row>
    <row r="43" spans="2:51">
      <c r="B43" s="19"/>
      <c r="C43" s="24" t="s">
        <v>390</v>
      </c>
      <c r="D43" s="23">
        <f>29+157+83</f>
        <v>269</v>
      </c>
      <c r="E43" s="27">
        <f>70+298+177</f>
        <v>545</v>
      </c>
      <c r="F43" s="19">
        <f>36+127+84</f>
        <v>247</v>
      </c>
      <c r="G43" s="19">
        <f>34+171+93</f>
        <v>298</v>
      </c>
      <c r="H43" s="23"/>
      <c r="I43" s="43" t="s">
        <v>378</v>
      </c>
      <c r="J43" s="27">
        <f>78+123</f>
        <v>201</v>
      </c>
      <c r="K43" s="27">
        <f>128+226</f>
        <v>354</v>
      </c>
      <c r="L43" s="27">
        <f>58+90</f>
        <v>148</v>
      </c>
      <c r="M43" s="27">
        <f>70+136</f>
        <v>206</v>
      </c>
      <c r="N43" s="23"/>
      <c r="O43" s="44"/>
      <c r="T43" s="264" t="s">
        <v>383</v>
      </c>
      <c r="U43" s="265"/>
      <c r="V43" s="192">
        <f>SUM(V45:V49,AD5:AD24)</f>
        <v>7000</v>
      </c>
      <c r="W43" s="192">
        <f>SUM(W45:W49,AE5:AE24)</f>
        <v>15017</v>
      </c>
      <c r="X43" s="192">
        <f>SUM(X45:X49,AF5:AF24)</f>
        <v>7455</v>
      </c>
      <c r="Y43" s="192">
        <f>SUM(Y45:Y49,AG5:AG24)</f>
        <v>7562</v>
      </c>
      <c r="AA43" s="19"/>
      <c r="AB43" s="23"/>
      <c r="AC43" s="43" t="s">
        <v>388</v>
      </c>
      <c r="AD43" s="27">
        <v>66</v>
      </c>
      <c r="AE43" s="27">
        <v>106</v>
      </c>
      <c r="AF43" s="27">
        <v>48</v>
      </c>
      <c r="AG43" s="26">
        <v>58</v>
      </c>
      <c r="AH43" s="23"/>
      <c r="AI43" s="43" t="s">
        <v>374</v>
      </c>
      <c r="AJ43" s="27">
        <v>54</v>
      </c>
      <c r="AK43" s="27">
        <v>89</v>
      </c>
      <c r="AL43" s="27">
        <v>35</v>
      </c>
      <c r="AM43" s="197">
        <v>54</v>
      </c>
    </row>
    <row r="44" spans="2:51" ht="12.75" customHeight="1">
      <c r="B44" s="19"/>
      <c r="C44" s="24" t="s">
        <v>396</v>
      </c>
      <c r="D44" s="23">
        <f>27+132+15</f>
        <v>174</v>
      </c>
      <c r="E44" s="27">
        <f>61+246+26</f>
        <v>333</v>
      </c>
      <c r="F44" s="19">
        <f>25+114+13</f>
        <v>152</v>
      </c>
      <c r="G44" s="19">
        <f>36+132+13</f>
        <v>181</v>
      </c>
      <c r="H44" s="23"/>
      <c r="I44" s="43" t="s">
        <v>382</v>
      </c>
      <c r="J44" s="27">
        <f>99+55+367</f>
        <v>521</v>
      </c>
      <c r="K44" s="27">
        <f>195+88+693</f>
        <v>976</v>
      </c>
      <c r="L44" s="27">
        <f>84+40+342</f>
        <v>466</v>
      </c>
      <c r="M44" s="27">
        <f>111+48+351</f>
        <v>510</v>
      </c>
      <c r="N44" s="264" t="s">
        <v>379</v>
      </c>
      <c r="O44" s="265"/>
      <c r="P44" s="26">
        <f>SUM(P46:P48)</f>
        <v>62</v>
      </c>
      <c r="Q44" s="26">
        <f>SUM(Q46:Q48)</f>
        <v>85</v>
      </c>
      <c r="R44" s="26">
        <f>SUM(R46:R48)</f>
        <v>38</v>
      </c>
      <c r="S44" s="26">
        <f>SUM(S46:S48)</f>
        <v>47</v>
      </c>
      <c r="T44" s="23"/>
      <c r="U44" s="44"/>
      <c r="V44" s="142"/>
      <c r="W44" s="142"/>
      <c r="X44" s="142"/>
      <c r="Y44" s="142"/>
      <c r="Z44" s="26"/>
      <c r="AA44" s="19"/>
      <c r="AB44" s="23"/>
      <c r="AC44" s="43" t="s">
        <v>394</v>
      </c>
      <c r="AD44" s="27">
        <v>145</v>
      </c>
      <c r="AE44" s="27">
        <v>294</v>
      </c>
      <c r="AF44" s="27">
        <v>130</v>
      </c>
      <c r="AG44" s="27">
        <v>164</v>
      </c>
      <c r="AH44" s="23"/>
      <c r="AI44" s="43" t="s">
        <v>281</v>
      </c>
      <c r="AJ44" s="27">
        <v>75</v>
      </c>
      <c r="AK44" s="27">
        <v>130</v>
      </c>
      <c r="AL44" s="27">
        <v>60</v>
      </c>
      <c r="AM44" s="197">
        <v>70</v>
      </c>
    </row>
    <row r="45" spans="2:51">
      <c r="B45" s="19"/>
      <c r="C45" s="24" t="s">
        <v>402</v>
      </c>
      <c r="D45" s="23">
        <v>33</v>
      </c>
      <c r="E45" s="27">
        <v>52</v>
      </c>
      <c r="F45" s="19">
        <v>23</v>
      </c>
      <c r="G45" s="19">
        <v>29</v>
      </c>
      <c r="H45" s="23"/>
      <c r="I45" s="43" t="s">
        <v>386</v>
      </c>
      <c r="J45" s="27">
        <f>133+35+13</f>
        <v>181</v>
      </c>
      <c r="K45" s="27">
        <f>259+64+27</f>
        <v>350</v>
      </c>
      <c r="L45" s="27">
        <f>121+34+14</f>
        <v>169</v>
      </c>
      <c r="M45" s="27">
        <f>138+30+13</f>
        <v>181</v>
      </c>
      <c r="N45" s="23"/>
      <c r="O45" s="44"/>
      <c r="P45" s="27"/>
      <c r="Q45" s="27"/>
      <c r="R45" s="27"/>
      <c r="S45" s="27"/>
      <c r="T45" s="23"/>
      <c r="U45" s="43" t="s">
        <v>393</v>
      </c>
      <c r="V45" s="27">
        <f>97+40+73</f>
        <v>210</v>
      </c>
      <c r="W45" s="27">
        <f>186+46+142</f>
        <v>374</v>
      </c>
      <c r="X45" s="27">
        <f>96+30+71</f>
        <v>197</v>
      </c>
      <c r="Y45" s="27">
        <f>90+16+71</f>
        <v>177</v>
      </c>
      <c r="Z45" s="27"/>
      <c r="AA45" s="19"/>
      <c r="AB45" s="23"/>
      <c r="AC45" s="43" t="s">
        <v>400</v>
      </c>
      <c r="AD45" s="27">
        <v>38</v>
      </c>
      <c r="AE45" s="27">
        <v>83</v>
      </c>
      <c r="AF45" s="27">
        <v>38</v>
      </c>
      <c r="AG45" s="27">
        <v>45</v>
      </c>
      <c r="AH45" s="23"/>
      <c r="AI45" s="43" t="s">
        <v>380</v>
      </c>
      <c r="AJ45" s="27">
        <v>88</v>
      </c>
      <c r="AK45" s="27">
        <v>180</v>
      </c>
      <c r="AL45" s="27">
        <v>84</v>
      </c>
      <c r="AM45" s="197">
        <v>96</v>
      </c>
    </row>
    <row r="46" spans="2:51">
      <c r="B46" s="19"/>
      <c r="C46" s="24" t="s">
        <v>407</v>
      </c>
      <c r="D46" s="23">
        <f>4+15</f>
        <v>19</v>
      </c>
      <c r="E46" s="27">
        <f>8+33</f>
        <v>41</v>
      </c>
      <c r="F46" s="19">
        <f>5+14</f>
        <v>19</v>
      </c>
      <c r="G46" s="19">
        <f>3+19</f>
        <v>22</v>
      </c>
      <c r="H46" s="23"/>
      <c r="I46" s="43" t="s">
        <v>391</v>
      </c>
      <c r="J46" s="27">
        <f>115+95</f>
        <v>210</v>
      </c>
      <c r="K46" s="27">
        <f>195+172</f>
        <v>367</v>
      </c>
      <c r="L46" s="27">
        <f>99+79</f>
        <v>178</v>
      </c>
      <c r="M46" s="27">
        <f>96+93</f>
        <v>189</v>
      </c>
      <c r="N46" s="23"/>
      <c r="O46" s="43" t="s">
        <v>387</v>
      </c>
      <c r="P46" s="27">
        <v>17</v>
      </c>
      <c r="Q46" s="27">
        <v>24</v>
      </c>
      <c r="R46" s="27">
        <v>10</v>
      </c>
      <c r="S46" s="27">
        <v>14</v>
      </c>
      <c r="T46" s="23"/>
      <c r="U46" s="43" t="s">
        <v>399</v>
      </c>
      <c r="V46" s="27">
        <f>3+43+1+202+12+45</f>
        <v>306</v>
      </c>
      <c r="W46" s="27">
        <f>6+97+1+467+30+89</f>
        <v>690</v>
      </c>
      <c r="X46" s="27">
        <f>4+47+0+224+15+41</f>
        <v>331</v>
      </c>
      <c r="Y46" s="27">
        <f>2+50+1+243+15+48</f>
        <v>359</v>
      </c>
      <c r="Z46" s="27"/>
      <c r="AA46" s="19"/>
      <c r="AB46" s="23"/>
      <c r="AC46" s="43" t="s">
        <v>384</v>
      </c>
      <c r="AD46" s="27">
        <v>16</v>
      </c>
      <c r="AE46" s="27">
        <v>27</v>
      </c>
      <c r="AF46" s="27">
        <v>14</v>
      </c>
      <c r="AG46" s="27">
        <v>13</v>
      </c>
      <c r="AH46" s="23"/>
      <c r="AI46" s="43" t="s">
        <v>385</v>
      </c>
      <c r="AJ46" s="27">
        <v>97</v>
      </c>
      <c r="AK46" s="27">
        <v>201</v>
      </c>
      <c r="AL46" s="27">
        <v>93</v>
      </c>
      <c r="AM46" s="197">
        <v>108</v>
      </c>
    </row>
    <row r="47" spans="2:51">
      <c r="B47" s="19"/>
      <c r="C47" s="24" t="s">
        <v>25</v>
      </c>
      <c r="D47" s="23">
        <v>28</v>
      </c>
      <c r="E47" s="27">
        <v>54</v>
      </c>
      <c r="F47" s="19">
        <v>25</v>
      </c>
      <c r="G47" s="19">
        <v>29</v>
      </c>
      <c r="H47" s="23"/>
      <c r="I47" s="43" t="s">
        <v>397</v>
      </c>
      <c r="J47" s="27">
        <f>9+5+254+277+6+46+82</f>
        <v>679</v>
      </c>
      <c r="K47" s="27">
        <f>33+17+492+559+15+102+194</f>
        <v>1412</v>
      </c>
      <c r="L47" s="27">
        <f>17+10+238+256+8+47+93</f>
        <v>669</v>
      </c>
      <c r="M47" s="27">
        <f>16+7+254+303+7+55+101</f>
        <v>743</v>
      </c>
      <c r="N47" s="23"/>
      <c r="O47" s="43" t="s">
        <v>392</v>
      </c>
      <c r="P47" s="27">
        <v>22</v>
      </c>
      <c r="Q47" s="27">
        <v>27</v>
      </c>
      <c r="R47" s="27">
        <v>14</v>
      </c>
      <c r="S47" s="27">
        <v>13</v>
      </c>
      <c r="T47" s="23"/>
      <c r="U47" s="43" t="s">
        <v>404</v>
      </c>
      <c r="V47" s="27">
        <f>132+54+444</f>
        <v>630</v>
      </c>
      <c r="W47" s="27">
        <f>234+96+896</f>
        <v>1226</v>
      </c>
      <c r="X47" s="27">
        <f>117+43+445</f>
        <v>605</v>
      </c>
      <c r="Y47" s="27">
        <f>117+53+451</f>
        <v>621</v>
      </c>
      <c r="Z47" s="27"/>
      <c r="AA47" s="19"/>
      <c r="AB47" s="23"/>
      <c r="AC47" s="43" t="s">
        <v>405</v>
      </c>
      <c r="AD47" s="27">
        <v>161</v>
      </c>
      <c r="AE47" s="27">
        <v>373</v>
      </c>
      <c r="AF47" s="27">
        <v>173</v>
      </c>
      <c r="AG47" s="27">
        <v>200</v>
      </c>
      <c r="AH47" s="23"/>
      <c r="AI47" s="43" t="s">
        <v>389</v>
      </c>
      <c r="AJ47" s="27">
        <v>62</v>
      </c>
      <c r="AK47" s="27">
        <v>109</v>
      </c>
      <c r="AL47" s="27">
        <v>46</v>
      </c>
      <c r="AM47" s="197">
        <v>63</v>
      </c>
    </row>
    <row r="48" spans="2:51" ht="12.75" customHeight="1">
      <c r="B48" s="19"/>
      <c r="C48" s="87" t="s">
        <v>50</v>
      </c>
      <c r="D48" s="23">
        <f>83+63</f>
        <v>146</v>
      </c>
      <c r="E48" s="27">
        <f>139+116</f>
        <v>255</v>
      </c>
      <c r="F48" s="19">
        <f>63+54</f>
        <v>117</v>
      </c>
      <c r="G48" s="19">
        <f>76+62</f>
        <v>138</v>
      </c>
      <c r="H48" s="23"/>
      <c r="I48" s="43" t="s">
        <v>403</v>
      </c>
      <c r="J48" s="27">
        <f>193+15</f>
        <v>208</v>
      </c>
      <c r="K48" s="27">
        <f>413+28</f>
        <v>441</v>
      </c>
      <c r="L48" s="27">
        <f>198+14</f>
        <v>212</v>
      </c>
      <c r="M48" s="27">
        <f>215+14</f>
        <v>229</v>
      </c>
      <c r="N48" s="23"/>
      <c r="O48" s="43" t="s">
        <v>398</v>
      </c>
      <c r="P48" s="27">
        <v>23</v>
      </c>
      <c r="Q48" s="27">
        <v>34</v>
      </c>
      <c r="R48" s="27">
        <v>14</v>
      </c>
      <c r="S48" s="27">
        <v>20</v>
      </c>
      <c r="T48" s="23"/>
      <c r="U48" s="121" t="s">
        <v>409</v>
      </c>
      <c r="V48" s="27">
        <f>64+143+131+94+176</f>
        <v>608</v>
      </c>
      <c r="W48" s="27">
        <f>119+299+273+236+368</f>
        <v>1295</v>
      </c>
      <c r="X48" s="27">
        <f>57+143+136+111+193</f>
        <v>640</v>
      </c>
      <c r="Y48" s="27">
        <f>62+156+137+125+175</f>
        <v>655</v>
      </c>
      <c r="Z48" s="27"/>
      <c r="AA48" s="19"/>
      <c r="AB48" s="23"/>
      <c r="AC48" s="121" t="s">
        <v>229</v>
      </c>
      <c r="AD48" s="27">
        <v>214</v>
      </c>
      <c r="AE48" s="27">
        <v>458</v>
      </c>
      <c r="AF48" s="27">
        <v>216</v>
      </c>
      <c r="AG48" s="27">
        <v>242</v>
      </c>
      <c r="AH48" s="23"/>
      <c r="AI48" s="43" t="s">
        <v>395</v>
      </c>
      <c r="AJ48" s="27">
        <v>37</v>
      </c>
      <c r="AK48" s="27">
        <v>56</v>
      </c>
      <c r="AL48" s="27">
        <v>28</v>
      </c>
      <c r="AM48" s="197">
        <v>28</v>
      </c>
      <c r="AN48" s="19"/>
      <c r="AS48" s="66"/>
    </row>
    <row r="49" spans="2:45" s="66" customFormat="1" ht="15.95" customHeight="1" thickBot="1">
      <c r="B49" s="63"/>
      <c r="C49" s="88" t="s">
        <v>159</v>
      </c>
      <c r="D49" s="64">
        <v>43</v>
      </c>
      <c r="E49" s="30">
        <v>68</v>
      </c>
      <c r="F49" s="63">
        <v>34</v>
      </c>
      <c r="G49" s="63">
        <v>34</v>
      </c>
      <c r="H49" s="64"/>
      <c r="I49" s="122" t="s">
        <v>408</v>
      </c>
      <c r="J49" s="30">
        <f>12+182+182+11</f>
        <v>387</v>
      </c>
      <c r="K49" s="30">
        <f>22+466+359+24</f>
        <v>871</v>
      </c>
      <c r="L49" s="30">
        <f>10+223+190+16</f>
        <v>439</v>
      </c>
      <c r="M49" s="149">
        <f>12+243+169+8</f>
        <v>432</v>
      </c>
      <c r="N49" s="28"/>
      <c r="O49" s="50"/>
      <c r="P49" s="30"/>
      <c r="Q49" s="30"/>
      <c r="R49" s="30"/>
      <c r="S49" s="149"/>
      <c r="T49" s="28"/>
      <c r="U49" s="145" t="s">
        <v>550</v>
      </c>
      <c r="V49" s="30">
        <f>44+135+31+89</f>
        <v>299</v>
      </c>
      <c r="W49" s="30">
        <f>104+314+55+220</f>
        <v>693</v>
      </c>
      <c r="X49" s="30">
        <f>49+148+26+97</f>
        <v>320</v>
      </c>
      <c r="Y49" s="30">
        <f>55+166+29+123</f>
        <v>373</v>
      </c>
      <c r="Z49" s="93"/>
      <c r="AA49" s="65"/>
      <c r="AB49" s="28"/>
      <c r="AC49" s="88" t="s">
        <v>413</v>
      </c>
      <c r="AD49" s="30">
        <v>286</v>
      </c>
      <c r="AE49" s="30">
        <v>677</v>
      </c>
      <c r="AF49" s="30">
        <v>337</v>
      </c>
      <c r="AG49" s="149">
        <v>340</v>
      </c>
      <c r="AH49" s="64"/>
      <c r="AI49" s="122" t="s">
        <v>401</v>
      </c>
      <c r="AJ49" s="208">
        <v>24</v>
      </c>
      <c r="AK49" s="30">
        <v>43</v>
      </c>
      <c r="AL49" s="208">
        <v>20</v>
      </c>
      <c r="AM49" s="209">
        <v>23</v>
      </c>
      <c r="AS49" s="22"/>
    </row>
    <row r="50" spans="2:45">
      <c r="C50" s="2" t="s">
        <v>46</v>
      </c>
    </row>
    <row r="56" spans="2:45">
      <c r="I56" s="89"/>
      <c r="J56" s="89"/>
      <c r="K56" s="89"/>
      <c r="L56" s="89"/>
      <c r="M56" s="89"/>
      <c r="N56" s="89"/>
      <c r="O56" s="89"/>
    </row>
  </sheetData>
  <mergeCells count="31">
    <mergeCell ref="K2:Q2"/>
    <mergeCell ref="AH4:AI4"/>
    <mergeCell ref="AN4:AO4"/>
    <mergeCell ref="T5:U5"/>
    <mergeCell ref="AT4:AU4"/>
    <mergeCell ref="AN13:AO13"/>
    <mergeCell ref="AH41:AI41"/>
    <mergeCell ref="T16:U16"/>
    <mergeCell ref="T43:U43"/>
    <mergeCell ref="AB27:AC27"/>
    <mergeCell ref="AB41:AC41"/>
    <mergeCell ref="AH22:AI22"/>
    <mergeCell ref="AW3:AY3"/>
    <mergeCell ref="AB4:AC4"/>
    <mergeCell ref="AB3:AC3"/>
    <mergeCell ref="AT8:AU8"/>
    <mergeCell ref="AN15:AO15"/>
    <mergeCell ref="B4:C4"/>
    <mergeCell ref="H4:I4"/>
    <mergeCell ref="W3:Y3"/>
    <mergeCell ref="N4:O4"/>
    <mergeCell ref="T4:U4"/>
    <mergeCell ref="N44:O44"/>
    <mergeCell ref="B38:C38"/>
    <mergeCell ref="I21:I22"/>
    <mergeCell ref="B5:C5"/>
    <mergeCell ref="N9:O9"/>
    <mergeCell ref="B8:C8"/>
    <mergeCell ref="H24:I24"/>
    <mergeCell ref="H39:I39"/>
    <mergeCell ref="N29:O29"/>
  </mergeCells>
  <phoneticPr fontId="2"/>
  <pageMargins left="0.61" right="0.82" top="0.98425196850393704" bottom="0.98425196850393704" header="0.51181102362204722" footer="0.51181102362204722"/>
  <pageSetup paperSize="9" scale="70" orientation="landscape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B1:Z47"/>
  <sheetViews>
    <sheetView showGridLines="0" view="pageBreakPreview" zoomScaleNormal="100" zoomScaleSheetLayoutView="100" workbookViewId="0">
      <pane xSplit="7" ySplit="5" topLeftCell="H6" activePane="bottomRight" state="frozen"/>
      <selection activeCell="O42" sqref="O42"/>
      <selection pane="topRight" activeCell="O42" sqref="O42"/>
      <selection pane="bottomLeft" activeCell="O42" sqref="O42"/>
      <selection pane="bottomRight"/>
    </sheetView>
  </sheetViews>
  <sheetFormatPr defaultRowHeight="12.75"/>
  <cols>
    <col min="1" max="1" width="5" style="2" customWidth="1"/>
    <col min="2" max="2" width="2.125" style="2" customWidth="1"/>
    <col min="3" max="3" width="3.375" style="2" customWidth="1"/>
    <col min="4" max="4" width="2.625" style="2" customWidth="1"/>
    <col min="5" max="6" width="2.875" style="2" customWidth="1"/>
    <col min="7" max="7" width="1.625" style="2" customWidth="1"/>
    <col min="8" max="8" width="8.625" style="2" customWidth="1"/>
    <col min="9" max="10" width="7.625" style="2" customWidth="1"/>
    <col min="11" max="11" width="0.5" style="2" hidden="1" customWidth="1"/>
    <col min="12" max="12" width="8.625" style="2" customWidth="1"/>
    <col min="13" max="14" width="7.625" style="2" customWidth="1"/>
    <col min="15" max="15" width="8.625" style="2" customWidth="1"/>
    <col min="16" max="17" width="7.625" style="2" customWidth="1"/>
    <col min="18" max="19" width="8.625" style="2" customWidth="1"/>
    <col min="20" max="21" width="7.625" style="2" customWidth="1"/>
    <col min="22" max="16384" width="9" style="2"/>
  </cols>
  <sheetData>
    <row r="1" spans="2:26" ht="18" customHeight="1"/>
    <row r="2" spans="2:26" ht="18" customHeight="1">
      <c r="I2" s="119"/>
      <c r="J2" s="119"/>
      <c r="K2" s="119"/>
      <c r="L2" s="299" t="s">
        <v>581</v>
      </c>
      <c r="M2" s="300"/>
      <c r="N2" s="300"/>
      <c r="O2" s="300"/>
      <c r="P2" s="300"/>
      <c r="Q2" s="300"/>
    </row>
    <row r="3" spans="2:26" ht="18" customHeight="1" thickBot="1"/>
    <row r="4" spans="2:26" ht="18" customHeight="1">
      <c r="B4" s="295" t="s">
        <v>417</v>
      </c>
      <c r="C4" s="295"/>
      <c r="D4" s="295"/>
      <c r="E4" s="295"/>
      <c r="F4" s="295"/>
      <c r="G4" s="16"/>
      <c r="H4" s="292" t="s">
        <v>590</v>
      </c>
      <c r="I4" s="293"/>
      <c r="J4" s="293"/>
      <c r="K4" s="33"/>
      <c r="L4" s="292" t="s">
        <v>591</v>
      </c>
      <c r="M4" s="293"/>
      <c r="N4" s="294"/>
      <c r="O4" s="292" t="s">
        <v>592</v>
      </c>
      <c r="P4" s="293"/>
      <c r="Q4" s="294"/>
      <c r="R4" s="289" t="s">
        <v>593</v>
      </c>
      <c r="S4" s="290"/>
      <c r="T4" s="290"/>
      <c r="U4" s="290"/>
    </row>
    <row r="5" spans="2:26" ht="18" customHeight="1">
      <c r="B5" s="296"/>
      <c r="C5" s="296"/>
      <c r="D5" s="296"/>
      <c r="E5" s="296"/>
      <c r="F5" s="296"/>
      <c r="G5" s="41"/>
      <c r="H5" s="37" t="s">
        <v>30</v>
      </c>
      <c r="I5" s="8" t="s">
        <v>34</v>
      </c>
      <c r="J5" s="8" t="s">
        <v>35</v>
      </c>
      <c r="K5" s="34"/>
      <c r="L5" s="37" t="s">
        <v>30</v>
      </c>
      <c r="M5" s="8" t="s">
        <v>34</v>
      </c>
      <c r="N5" s="8" t="s">
        <v>35</v>
      </c>
      <c r="O5" s="114" t="s">
        <v>30</v>
      </c>
      <c r="P5" s="8" t="s">
        <v>34</v>
      </c>
      <c r="Q5" s="8" t="s">
        <v>7</v>
      </c>
      <c r="R5" s="37" t="s">
        <v>30</v>
      </c>
      <c r="S5" s="37" t="s">
        <v>542</v>
      </c>
      <c r="T5" s="8" t="s">
        <v>34</v>
      </c>
      <c r="U5" s="8" t="s">
        <v>7</v>
      </c>
    </row>
    <row r="6" spans="2:26" ht="18" customHeight="1">
      <c r="B6" s="297" t="s">
        <v>582</v>
      </c>
      <c r="C6" s="297"/>
      <c r="D6" s="297"/>
      <c r="E6" s="297"/>
      <c r="F6" s="297"/>
      <c r="G6" s="38"/>
      <c r="H6" s="4">
        <v>116848</v>
      </c>
      <c r="I6" s="4">
        <v>56500</v>
      </c>
      <c r="J6" s="4">
        <v>60348</v>
      </c>
      <c r="K6" s="4"/>
      <c r="L6" s="4">
        <v>116571</v>
      </c>
      <c r="M6" s="4">
        <v>56365</v>
      </c>
      <c r="N6" s="4">
        <v>60206</v>
      </c>
      <c r="O6" s="4">
        <v>116203</v>
      </c>
      <c r="P6" s="4">
        <v>56319</v>
      </c>
      <c r="Q6" s="4">
        <v>59884</v>
      </c>
      <c r="R6" s="155">
        <f>R9+R16+R30</f>
        <v>115603</v>
      </c>
      <c r="S6" s="156">
        <f>IF(R6&gt;0,R6/R$6*100,"")</f>
        <v>100</v>
      </c>
      <c r="T6" s="155">
        <f>T9+T16+T30</f>
        <v>55980</v>
      </c>
      <c r="U6" s="155">
        <f>U9+U16+U30</f>
        <v>59623</v>
      </c>
      <c r="V6" s="115"/>
      <c r="W6" s="115"/>
      <c r="Y6" s="135"/>
      <c r="Z6" s="135"/>
    </row>
    <row r="7" spans="2:26" ht="18" customHeight="1">
      <c r="B7" s="3"/>
      <c r="C7" s="298" t="s">
        <v>418</v>
      </c>
      <c r="D7" s="298"/>
      <c r="E7" s="298"/>
      <c r="F7" s="298"/>
      <c r="G7" s="39"/>
      <c r="H7" s="9">
        <f>IF(H6&gt;0,H6/H$6*100,"")</f>
        <v>100</v>
      </c>
      <c r="I7" s="10">
        <f>IF(I6&gt;0,I6/H$6*100,"")</f>
        <v>48.353416404217448</v>
      </c>
      <c r="J7" s="10">
        <f>IF(J6&gt;0,J6/H$6*100,"")</f>
        <v>51.646583595782559</v>
      </c>
      <c r="K7" s="10"/>
      <c r="L7" s="9">
        <f>IF(L6&gt;0,L6/L$6*100,"")</f>
        <v>100</v>
      </c>
      <c r="M7" s="10">
        <f>IF(M6&gt;0,M6/L$6*100,"")</f>
        <v>48.352506197939455</v>
      </c>
      <c r="N7" s="10">
        <f>IF(N6&gt;0,N6/L$6*100,"")</f>
        <v>51.647493802060552</v>
      </c>
      <c r="O7" s="9">
        <f>IF(O6&gt;0,O6/O$6*100,"")</f>
        <v>100</v>
      </c>
      <c r="P7" s="10">
        <f>IF(P6&gt;0,P6/O$6*100,"")</f>
        <v>48.466046487612196</v>
      </c>
      <c r="Q7" s="10">
        <f>IF(Q6&gt;0,Q6/O$6*100,"")</f>
        <v>51.533953512387811</v>
      </c>
      <c r="R7" s="9">
        <f>IF(R6&gt;0,R6/R$6*100,"")</f>
        <v>100</v>
      </c>
      <c r="S7" s="10"/>
      <c r="T7" s="10">
        <f>IF(T6&gt;0,T6/R$6*100,"")</f>
        <v>48.424348849078314</v>
      </c>
      <c r="U7" s="10">
        <f>IF(U6&gt;0,U6/R$6*100,"")</f>
        <v>51.575651150921686</v>
      </c>
      <c r="V7" s="116"/>
      <c r="W7" s="116"/>
      <c r="Y7" s="135"/>
    </row>
    <row r="8" spans="2:26" ht="18" customHeight="1">
      <c r="B8" s="1"/>
      <c r="C8" s="1"/>
      <c r="D8" s="1"/>
      <c r="E8" s="1"/>
      <c r="F8" s="1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17"/>
      <c r="S8" s="1"/>
      <c r="T8" s="117"/>
      <c r="U8" s="117"/>
      <c r="V8" s="117"/>
      <c r="W8" s="117"/>
      <c r="Y8" s="135"/>
    </row>
    <row r="9" spans="2:26" ht="18" customHeight="1">
      <c r="B9" s="291" t="s">
        <v>419</v>
      </c>
      <c r="C9" s="291"/>
      <c r="D9" s="291"/>
      <c r="E9" s="291"/>
      <c r="F9" s="291"/>
      <c r="G9" s="38"/>
      <c r="H9" s="4">
        <f>SUM(H12:H14)</f>
        <v>15197</v>
      </c>
      <c r="I9" s="4">
        <f>SUM(I12:I14)</f>
        <v>7770</v>
      </c>
      <c r="J9" s="4">
        <f>SUM(J12:J14)</f>
        <v>7427</v>
      </c>
      <c r="K9" s="4"/>
      <c r="L9" s="4">
        <f t="shared" ref="L9:R9" si="0">SUM(L12:L14)</f>
        <v>15122</v>
      </c>
      <c r="M9" s="4">
        <f t="shared" si="0"/>
        <v>7752</v>
      </c>
      <c r="N9" s="4">
        <f t="shared" si="0"/>
        <v>7370</v>
      </c>
      <c r="O9" s="4">
        <f t="shared" si="0"/>
        <v>14941</v>
      </c>
      <c r="P9" s="4">
        <f t="shared" si="0"/>
        <v>7681</v>
      </c>
      <c r="Q9" s="4">
        <f t="shared" si="0"/>
        <v>7260</v>
      </c>
      <c r="R9" s="155">
        <f t="shared" si="0"/>
        <v>14853</v>
      </c>
      <c r="S9" s="67">
        <f>IF(R9&gt;0,R9/R$6*100,"")</f>
        <v>12.848282484018581</v>
      </c>
      <c r="T9" s="155">
        <f>SUM(T12:T14)</f>
        <v>7661</v>
      </c>
      <c r="U9" s="155">
        <f>SUM(U12:U14)</f>
        <v>7192</v>
      </c>
      <c r="V9" s="115"/>
      <c r="W9" s="115"/>
      <c r="Y9" s="135"/>
    </row>
    <row r="10" spans="2:26" ht="18" customHeight="1">
      <c r="B10" s="3"/>
      <c r="C10" s="298" t="s">
        <v>418</v>
      </c>
      <c r="D10" s="298"/>
      <c r="E10" s="298"/>
      <c r="F10" s="298"/>
      <c r="G10" s="39"/>
      <c r="H10" s="10">
        <f>IF(H9&gt;0,H9/H$6*100,"")</f>
        <v>13.005785293714911</v>
      </c>
      <c r="I10" s="10">
        <f>IF(I9&gt;0,I9/H$6*100,"")</f>
        <v>6.6496645214295489</v>
      </c>
      <c r="J10" s="10">
        <f>IF(J9&gt;0,J9/H$6*100,"")</f>
        <v>6.3561207722853617</v>
      </c>
      <c r="K10" s="10"/>
      <c r="L10" s="10">
        <f>IF(L9&gt;0,L9/L$6*100,"")</f>
        <v>12.972351614037796</v>
      </c>
      <c r="M10" s="10">
        <f>IF(M9&gt;0,M9/L$6*100,"")</f>
        <v>6.6500244486192965</v>
      </c>
      <c r="N10" s="10">
        <f>IF(N9&gt;0,N9/L$6*100,"")</f>
        <v>6.3223271654185007</v>
      </c>
      <c r="O10" s="10">
        <f>IF(O9&gt;0,O9/O$6*100,"")</f>
        <v>12.857671488687899</v>
      </c>
      <c r="P10" s="10">
        <f>IF(P9&gt;0,P9/O$6*100,"")</f>
        <v>6.609984251697461</v>
      </c>
      <c r="Q10" s="10">
        <f>IF(Q9&gt;0,Q9/O$6*100,"")</f>
        <v>6.2476872369904397</v>
      </c>
      <c r="R10" s="10">
        <f>IF(R9&gt;0,R9/R$6*100,"")</f>
        <v>12.848282484018581</v>
      </c>
      <c r="S10" s="10"/>
      <c r="T10" s="10">
        <f>IF(T9&gt;0,T9/R$6*100,"")</f>
        <v>6.6269906490316002</v>
      </c>
      <c r="U10" s="10">
        <f>IF(U9&gt;0,U9/R$6*100,"")</f>
        <v>6.2212918349869817</v>
      </c>
      <c r="V10" s="116"/>
      <c r="W10" s="116"/>
      <c r="Y10" s="135"/>
    </row>
    <row r="11" spans="2:26" ht="18" customHeight="1">
      <c r="B11" s="1"/>
      <c r="C11" s="1"/>
      <c r="D11" s="1"/>
      <c r="E11" s="1"/>
      <c r="F11" s="1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17"/>
      <c r="W11" s="117"/>
      <c r="Y11" s="135"/>
    </row>
    <row r="12" spans="2:26" ht="18" customHeight="1">
      <c r="B12" s="1"/>
      <c r="C12" s="1">
        <v>0</v>
      </c>
      <c r="D12" s="19" t="s">
        <v>420</v>
      </c>
      <c r="E12" s="1" t="s">
        <v>421</v>
      </c>
      <c r="F12" s="1">
        <v>4</v>
      </c>
      <c r="G12" s="38"/>
      <c r="H12" s="4">
        <f>I12+J12</f>
        <v>4942</v>
      </c>
      <c r="I12" s="4">
        <v>2587</v>
      </c>
      <c r="J12" s="4">
        <v>2355</v>
      </c>
      <c r="K12" s="4"/>
      <c r="L12" s="4">
        <f>M12+N12</f>
        <v>4837</v>
      </c>
      <c r="M12" s="4">
        <v>2499</v>
      </c>
      <c r="N12" s="4">
        <v>2338</v>
      </c>
      <c r="O12" s="4">
        <f>P12+Q12</f>
        <v>4709</v>
      </c>
      <c r="P12" s="4">
        <v>2438</v>
      </c>
      <c r="Q12" s="4">
        <v>2271</v>
      </c>
      <c r="R12" s="4">
        <f>T12+U12</f>
        <v>4611</v>
      </c>
      <c r="S12" s="10">
        <f>IF(R12&gt;0,R12/R$6*100,"")</f>
        <v>3.9886508135602017</v>
      </c>
      <c r="T12" s="4">
        <v>2364</v>
      </c>
      <c r="U12" s="4">
        <v>2247</v>
      </c>
      <c r="Y12" s="135"/>
    </row>
    <row r="13" spans="2:26" ht="18" customHeight="1">
      <c r="B13" s="1"/>
      <c r="C13" s="1">
        <v>5</v>
      </c>
      <c r="D13" s="1"/>
      <c r="E13" s="1" t="s">
        <v>421</v>
      </c>
      <c r="F13" s="1">
        <v>9</v>
      </c>
      <c r="G13" s="38"/>
      <c r="H13" s="4">
        <f>I13+J13</f>
        <v>5158</v>
      </c>
      <c r="I13" s="4">
        <v>2630</v>
      </c>
      <c r="J13" s="4">
        <v>2528</v>
      </c>
      <c r="K13" s="4"/>
      <c r="L13" s="4">
        <f>M13+N13</f>
        <v>5152</v>
      </c>
      <c r="M13" s="4">
        <v>2637</v>
      </c>
      <c r="N13" s="4">
        <v>2515</v>
      </c>
      <c r="O13" s="4">
        <f>P13+Q13</f>
        <v>5105</v>
      </c>
      <c r="P13" s="4">
        <v>2629</v>
      </c>
      <c r="Q13" s="4">
        <v>2476</v>
      </c>
      <c r="R13" s="4">
        <f>T13+U13</f>
        <v>5117</v>
      </c>
      <c r="S13" s="10">
        <f>IF(R13&gt;0,R13/R$6*100,"")</f>
        <v>4.4263557174121786</v>
      </c>
      <c r="T13" s="4">
        <v>2673</v>
      </c>
      <c r="U13" s="4">
        <v>2444</v>
      </c>
      <c r="Y13" s="135"/>
    </row>
    <row r="14" spans="2:26" ht="18" customHeight="1">
      <c r="B14" s="1"/>
      <c r="C14" s="1">
        <v>10</v>
      </c>
      <c r="D14" s="1"/>
      <c r="E14" s="1" t="s">
        <v>421</v>
      </c>
      <c r="F14" s="1">
        <v>14</v>
      </c>
      <c r="G14" s="38"/>
      <c r="H14" s="4">
        <f>I14+J14</f>
        <v>5097</v>
      </c>
      <c r="I14" s="4">
        <v>2553</v>
      </c>
      <c r="J14" s="4">
        <v>2544</v>
      </c>
      <c r="K14" s="4"/>
      <c r="L14" s="4">
        <f>M14+N14</f>
        <v>5133</v>
      </c>
      <c r="M14" s="4">
        <v>2616</v>
      </c>
      <c r="N14" s="4">
        <v>2517</v>
      </c>
      <c r="O14" s="4">
        <f>P14+Q14</f>
        <v>5127</v>
      </c>
      <c r="P14" s="4">
        <v>2614</v>
      </c>
      <c r="Q14" s="4">
        <v>2513</v>
      </c>
      <c r="R14" s="4">
        <f>T14+U14</f>
        <v>5125</v>
      </c>
      <c r="S14" s="10">
        <f>IF(R14&gt;0,R14/R$6*100,"")</f>
        <v>4.4332759530462011</v>
      </c>
      <c r="T14" s="4">
        <v>2624</v>
      </c>
      <c r="U14" s="4">
        <v>2501</v>
      </c>
      <c r="Y14" s="135"/>
    </row>
    <row r="15" spans="2:26" ht="18" customHeight="1">
      <c r="B15" s="1"/>
      <c r="C15" s="1"/>
      <c r="D15" s="1"/>
      <c r="E15" s="1"/>
      <c r="F15" s="1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Y15" s="135"/>
    </row>
    <row r="16" spans="2:26" ht="18" customHeight="1">
      <c r="B16" s="291" t="s">
        <v>422</v>
      </c>
      <c r="C16" s="291"/>
      <c r="D16" s="291"/>
      <c r="E16" s="291"/>
      <c r="F16" s="291"/>
      <c r="G16" s="38"/>
      <c r="H16" s="4">
        <f>SUM(H19:H28)</f>
        <v>66795</v>
      </c>
      <c r="I16" s="4">
        <f>SUM(I19:I28)</f>
        <v>33943</v>
      </c>
      <c r="J16" s="4">
        <f>SUM(J19:J28)</f>
        <v>32852</v>
      </c>
      <c r="K16" s="4"/>
      <c r="L16" s="4">
        <f t="shared" ref="L16:R16" si="1">SUM(L19:L28)</f>
        <v>66299</v>
      </c>
      <c r="M16" s="4">
        <f t="shared" si="1"/>
        <v>33745</v>
      </c>
      <c r="N16" s="4">
        <f t="shared" si="1"/>
        <v>32554</v>
      </c>
      <c r="O16" s="4">
        <f t="shared" si="1"/>
        <v>65940</v>
      </c>
      <c r="P16" s="4">
        <f t="shared" si="1"/>
        <v>33678</v>
      </c>
      <c r="Q16" s="4">
        <f t="shared" si="1"/>
        <v>32262</v>
      </c>
      <c r="R16" s="155">
        <f t="shared" si="1"/>
        <v>65311</v>
      </c>
      <c r="S16" s="67">
        <f>IF(R16&gt;0,R16/R$6*100,"")</f>
        <v>56.495938686712279</v>
      </c>
      <c r="T16" s="155">
        <f>SUM(T19:T28)</f>
        <v>33313</v>
      </c>
      <c r="U16" s="155">
        <f>SUM(U19:U28)</f>
        <v>31998</v>
      </c>
      <c r="Y16" s="135"/>
    </row>
    <row r="17" spans="2:25" ht="18" customHeight="1">
      <c r="B17" s="3"/>
      <c r="C17" s="298" t="s">
        <v>418</v>
      </c>
      <c r="D17" s="298"/>
      <c r="E17" s="298"/>
      <c r="F17" s="298"/>
      <c r="G17" s="39"/>
      <c r="H17" s="10">
        <f>IF(H16&gt;0,H16/H$6*100,"")</f>
        <v>57.164007941941662</v>
      </c>
      <c r="I17" s="10">
        <f>IF(I16&gt;0,I16/H$6*100,"")</f>
        <v>29.048849787758456</v>
      </c>
      <c r="J17" s="10">
        <f>IF(J16&gt;0,J16/H$6*100,"")</f>
        <v>28.115158154183213</v>
      </c>
      <c r="K17" s="10"/>
      <c r="L17" s="10">
        <f>IF(L16&gt;0,L16/L$6*100,"")</f>
        <v>56.874351253742347</v>
      </c>
      <c r="M17" s="10">
        <f>IF(M16&gt;0,M16/L$6*100,"")</f>
        <v>28.948023093222158</v>
      </c>
      <c r="N17" s="10">
        <f>IF(N16&gt;0,N16/L$6*100,"")</f>
        <v>27.926328160520196</v>
      </c>
      <c r="O17" s="10">
        <f>IF(O16&gt;0,O16/O$6*100,"")</f>
        <v>56.745522921094981</v>
      </c>
      <c r="P17" s="10">
        <f>IF(P16&gt;0,P16/O$6*100,"")</f>
        <v>28.982040050601103</v>
      </c>
      <c r="Q17" s="10">
        <f>IF(Q16&gt;0,Q16/O$6*100,"")</f>
        <v>27.763482870493878</v>
      </c>
      <c r="R17" s="10">
        <f>IF(R16&gt;0,R16/R$6*100,"")</f>
        <v>56.495938686712279</v>
      </c>
      <c r="S17" s="10"/>
      <c r="T17" s="10">
        <f>IF(T16&gt;0,T16/R$6*100,"")</f>
        <v>28.816726209527431</v>
      </c>
      <c r="U17" s="10">
        <f>IF(U16&gt;0,U16/R$6*100,"")</f>
        <v>27.679212477184851</v>
      </c>
      <c r="Y17" s="135"/>
    </row>
    <row r="18" spans="2:25" ht="18" customHeight="1">
      <c r="B18" s="1"/>
      <c r="C18" s="1"/>
      <c r="D18" s="1"/>
      <c r="E18" s="1"/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Y18" s="135"/>
    </row>
    <row r="19" spans="2:25" ht="18" customHeight="1">
      <c r="B19" s="1"/>
      <c r="C19" s="1">
        <v>15</v>
      </c>
      <c r="D19" s="1"/>
      <c r="E19" s="1" t="s">
        <v>421</v>
      </c>
      <c r="F19" s="1">
        <v>19</v>
      </c>
      <c r="G19" s="38"/>
      <c r="H19" s="4">
        <f>I19+J19</f>
        <v>5535</v>
      </c>
      <c r="I19" s="4">
        <v>2839</v>
      </c>
      <c r="J19" s="4">
        <v>2696</v>
      </c>
      <c r="K19" s="4"/>
      <c r="L19" s="4">
        <f>M19+N19</f>
        <v>5420</v>
      </c>
      <c r="M19" s="4">
        <v>2712</v>
      </c>
      <c r="N19" s="4">
        <v>2708</v>
      </c>
      <c r="O19" s="4">
        <f>P19+Q19</f>
        <v>5458</v>
      </c>
      <c r="P19" s="4">
        <v>2745</v>
      </c>
      <c r="Q19" s="4">
        <v>2713</v>
      </c>
      <c r="R19" s="4">
        <f>T19+U19</f>
        <v>5407</v>
      </c>
      <c r="S19" s="10">
        <f t="shared" ref="S19:S28" si="2">IF(R19&gt;0,R19/R$6*100,"")</f>
        <v>4.6772142591455239</v>
      </c>
      <c r="T19" s="4">
        <v>2741</v>
      </c>
      <c r="U19" s="4">
        <v>2666</v>
      </c>
      <c r="Y19" s="135"/>
    </row>
    <row r="20" spans="2:25" ht="18" customHeight="1">
      <c r="B20" s="1"/>
      <c r="C20" s="1">
        <v>20</v>
      </c>
      <c r="D20" s="1"/>
      <c r="E20" s="1" t="s">
        <v>421</v>
      </c>
      <c r="F20" s="1">
        <v>24</v>
      </c>
      <c r="G20" s="38"/>
      <c r="H20" s="4">
        <f t="shared" ref="H20:H28" si="3">I20+J20</f>
        <v>5445</v>
      </c>
      <c r="I20" s="4">
        <v>2804</v>
      </c>
      <c r="J20" s="4">
        <v>2641</v>
      </c>
      <c r="K20" s="4"/>
      <c r="L20" s="4">
        <f t="shared" ref="L20:L28" si="4">M20+N20</f>
        <v>5568</v>
      </c>
      <c r="M20" s="4">
        <v>2911</v>
      </c>
      <c r="N20" s="4">
        <v>2657</v>
      </c>
      <c r="O20" s="4">
        <f t="shared" ref="O20:O28" si="5">P20+Q20</f>
        <v>5465</v>
      </c>
      <c r="P20" s="4">
        <v>2903</v>
      </c>
      <c r="Q20" s="4">
        <v>2562</v>
      </c>
      <c r="R20" s="4">
        <f>T20+U20</f>
        <v>5342</v>
      </c>
      <c r="S20" s="10">
        <f t="shared" si="2"/>
        <v>4.6209873446190839</v>
      </c>
      <c r="T20" s="4">
        <v>2800</v>
      </c>
      <c r="U20" s="4">
        <v>2542</v>
      </c>
      <c r="Y20" s="135"/>
    </row>
    <row r="21" spans="2:25" ht="18" customHeight="1">
      <c r="B21" s="1"/>
      <c r="C21" s="1">
        <v>25</v>
      </c>
      <c r="D21" s="1"/>
      <c r="E21" s="1" t="s">
        <v>421</v>
      </c>
      <c r="F21" s="1">
        <v>29</v>
      </c>
      <c r="G21" s="38"/>
      <c r="H21" s="153">
        <f t="shared" si="3"/>
        <v>5816</v>
      </c>
      <c r="I21" s="4">
        <v>3082</v>
      </c>
      <c r="J21" s="4">
        <v>2734</v>
      </c>
      <c r="K21" s="4"/>
      <c r="L21" s="4">
        <f t="shared" si="4"/>
        <v>5556</v>
      </c>
      <c r="M21" s="4">
        <v>2901</v>
      </c>
      <c r="N21" s="4">
        <v>2655</v>
      </c>
      <c r="O21" s="4">
        <f t="shared" si="5"/>
        <v>5536</v>
      </c>
      <c r="P21" s="4">
        <v>2881</v>
      </c>
      <c r="Q21" s="4">
        <v>2655</v>
      </c>
      <c r="R21" s="4">
        <f t="shared" ref="R21:R27" si="6">T21+U21</f>
        <v>5381</v>
      </c>
      <c r="S21" s="10">
        <f t="shared" si="2"/>
        <v>4.6547234933349477</v>
      </c>
      <c r="T21" s="4">
        <v>2793</v>
      </c>
      <c r="U21" s="4">
        <v>2588</v>
      </c>
      <c r="Y21" s="135"/>
    </row>
    <row r="22" spans="2:25" ht="18" customHeight="1">
      <c r="B22" s="1"/>
      <c r="C22" s="1">
        <v>30</v>
      </c>
      <c r="D22" s="1"/>
      <c r="E22" s="1" t="s">
        <v>421</v>
      </c>
      <c r="F22" s="1">
        <v>34</v>
      </c>
      <c r="G22" s="38"/>
      <c r="H22" s="153">
        <f t="shared" si="3"/>
        <v>6547</v>
      </c>
      <c r="I22" s="4">
        <v>3337</v>
      </c>
      <c r="J22" s="4">
        <v>3210</v>
      </c>
      <c r="K22" s="4"/>
      <c r="L22" s="4">
        <f t="shared" si="4"/>
        <v>6524</v>
      </c>
      <c r="M22" s="4">
        <v>3359</v>
      </c>
      <c r="N22" s="4">
        <v>3165</v>
      </c>
      <c r="O22" s="4">
        <f t="shared" si="5"/>
        <v>6408</v>
      </c>
      <c r="P22" s="4">
        <v>3353</v>
      </c>
      <c r="Q22" s="4">
        <v>3055</v>
      </c>
      <c r="R22" s="4">
        <f t="shared" si="6"/>
        <v>6145</v>
      </c>
      <c r="S22" s="10">
        <f t="shared" si="2"/>
        <v>5.3156059963841766</v>
      </c>
      <c r="T22" s="4">
        <v>3201</v>
      </c>
      <c r="U22" s="4">
        <v>2944</v>
      </c>
      <c r="Y22" s="135"/>
    </row>
    <row r="23" spans="2:25" ht="18" customHeight="1">
      <c r="B23" s="1"/>
      <c r="C23" s="1">
        <v>35</v>
      </c>
      <c r="D23" s="1"/>
      <c r="E23" s="1" t="s">
        <v>421</v>
      </c>
      <c r="F23" s="1">
        <v>39</v>
      </c>
      <c r="G23" s="38"/>
      <c r="H23" s="153">
        <f t="shared" si="3"/>
        <v>6872</v>
      </c>
      <c r="I23" s="4">
        <v>3581</v>
      </c>
      <c r="J23" s="4">
        <v>3291</v>
      </c>
      <c r="K23" s="4"/>
      <c r="L23" s="4">
        <f t="shared" si="4"/>
        <v>6781</v>
      </c>
      <c r="M23" s="4">
        <v>3522</v>
      </c>
      <c r="N23" s="4">
        <v>3259</v>
      </c>
      <c r="O23" s="4">
        <f t="shared" si="5"/>
        <v>6712</v>
      </c>
      <c r="P23" s="4">
        <v>3503</v>
      </c>
      <c r="Q23" s="4">
        <v>3209</v>
      </c>
      <c r="R23" s="4">
        <f t="shared" si="6"/>
        <v>6754</v>
      </c>
      <c r="S23" s="10">
        <f t="shared" si="2"/>
        <v>5.8424089340242036</v>
      </c>
      <c r="T23" s="4">
        <v>3465</v>
      </c>
      <c r="U23" s="4">
        <v>3289</v>
      </c>
      <c r="Y23" s="135"/>
    </row>
    <row r="24" spans="2:25" ht="18" customHeight="1">
      <c r="B24" s="1"/>
      <c r="C24" s="1">
        <v>40</v>
      </c>
      <c r="D24" s="1"/>
      <c r="E24" s="1" t="s">
        <v>421</v>
      </c>
      <c r="F24" s="1">
        <v>44</v>
      </c>
      <c r="G24" s="38"/>
      <c r="H24" s="153">
        <f t="shared" si="3"/>
        <v>8218</v>
      </c>
      <c r="I24" s="4">
        <v>4291</v>
      </c>
      <c r="J24" s="4">
        <v>3927</v>
      </c>
      <c r="K24" s="4"/>
      <c r="L24" s="4">
        <f t="shared" si="4"/>
        <v>7916</v>
      </c>
      <c r="M24" s="4">
        <v>4138</v>
      </c>
      <c r="N24" s="4">
        <v>3778</v>
      </c>
      <c r="O24" s="4">
        <f t="shared" si="5"/>
        <v>7538</v>
      </c>
      <c r="P24" s="4">
        <v>3857</v>
      </c>
      <c r="Q24" s="4">
        <v>3681</v>
      </c>
      <c r="R24" s="4">
        <f t="shared" si="6"/>
        <v>7331</v>
      </c>
      <c r="S24" s="10">
        <f t="shared" si="2"/>
        <v>6.3415309291281368</v>
      </c>
      <c r="T24" s="4">
        <v>3819</v>
      </c>
      <c r="U24" s="4">
        <v>3512</v>
      </c>
      <c r="Y24" s="135"/>
    </row>
    <row r="25" spans="2:25" ht="18" customHeight="1">
      <c r="B25" s="1"/>
      <c r="C25" s="1">
        <v>45</v>
      </c>
      <c r="D25" s="1"/>
      <c r="E25" s="1" t="s">
        <v>421</v>
      </c>
      <c r="F25" s="1">
        <v>49</v>
      </c>
      <c r="G25" s="38"/>
      <c r="H25" s="153">
        <f t="shared" si="3"/>
        <v>7956</v>
      </c>
      <c r="I25" s="4">
        <v>4058</v>
      </c>
      <c r="J25" s="4">
        <v>3898</v>
      </c>
      <c r="K25" s="4"/>
      <c r="L25" s="4">
        <f t="shared" si="4"/>
        <v>8270</v>
      </c>
      <c r="M25" s="4">
        <v>4248</v>
      </c>
      <c r="N25" s="4">
        <v>4022</v>
      </c>
      <c r="O25" s="4">
        <f t="shared" si="5"/>
        <v>8515</v>
      </c>
      <c r="P25" s="4">
        <v>4428</v>
      </c>
      <c r="Q25" s="4">
        <v>4087</v>
      </c>
      <c r="R25" s="4">
        <f t="shared" si="6"/>
        <v>8587</v>
      </c>
      <c r="S25" s="10">
        <f t="shared" si="2"/>
        <v>7.4280079236698011</v>
      </c>
      <c r="T25" s="4">
        <v>4494</v>
      </c>
      <c r="U25" s="4">
        <v>4093</v>
      </c>
      <c r="Y25" s="135"/>
    </row>
    <row r="26" spans="2:25" ht="18" customHeight="1">
      <c r="B26" s="1"/>
      <c r="C26" s="1">
        <v>50</v>
      </c>
      <c r="D26" s="1"/>
      <c r="E26" s="1" t="s">
        <v>421</v>
      </c>
      <c r="F26" s="1">
        <v>54</v>
      </c>
      <c r="G26" s="38"/>
      <c r="H26" s="153">
        <f t="shared" si="3"/>
        <v>6565</v>
      </c>
      <c r="I26" s="4">
        <v>3219</v>
      </c>
      <c r="J26" s="4">
        <v>3346</v>
      </c>
      <c r="K26" s="4"/>
      <c r="L26" s="4">
        <f t="shared" si="4"/>
        <v>6706</v>
      </c>
      <c r="M26" s="4">
        <v>3298</v>
      </c>
      <c r="N26" s="4">
        <v>3408</v>
      </c>
      <c r="O26" s="4">
        <f t="shared" si="5"/>
        <v>6872</v>
      </c>
      <c r="P26" s="4">
        <v>3391</v>
      </c>
      <c r="Q26" s="4">
        <v>3481</v>
      </c>
      <c r="R26" s="4">
        <f t="shared" si="6"/>
        <v>7041</v>
      </c>
      <c r="S26" s="10">
        <f t="shared" si="2"/>
        <v>6.0906723873947914</v>
      </c>
      <c r="T26" s="4">
        <v>3470</v>
      </c>
      <c r="U26" s="4">
        <v>3571</v>
      </c>
      <c r="Y26" s="135"/>
    </row>
    <row r="27" spans="2:25" ht="18" customHeight="1">
      <c r="B27" s="1"/>
      <c r="C27" s="1">
        <v>55</v>
      </c>
      <c r="D27" s="1"/>
      <c r="E27" s="1" t="s">
        <v>421</v>
      </c>
      <c r="F27" s="1">
        <v>59</v>
      </c>
      <c r="G27" s="38"/>
      <c r="H27" s="153">
        <f t="shared" si="3"/>
        <v>6562</v>
      </c>
      <c r="I27" s="4">
        <v>3233</v>
      </c>
      <c r="J27" s="4">
        <v>3329</v>
      </c>
      <c r="K27" s="4"/>
      <c r="L27" s="4">
        <f t="shared" si="4"/>
        <v>6506</v>
      </c>
      <c r="M27" s="4">
        <v>3245</v>
      </c>
      <c r="N27" s="4">
        <v>3261</v>
      </c>
      <c r="O27" s="4">
        <f t="shared" si="5"/>
        <v>6590</v>
      </c>
      <c r="P27" s="4">
        <v>3329</v>
      </c>
      <c r="Q27" s="4">
        <v>3261</v>
      </c>
      <c r="R27" s="4">
        <f t="shared" si="6"/>
        <v>6585</v>
      </c>
      <c r="S27" s="10">
        <f t="shared" si="2"/>
        <v>5.6962189562554606</v>
      </c>
      <c r="T27" s="4">
        <v>3300</v>
      </c>
      <c r="U27" s="4">
        <v>3285</v>
      </c>
      <c r="Y27" s="135"/>
    </row>
    <row r="28" spans="2:25" ht="18" customHeight="1">
      <c r="B28" s="1"/>
      <c r="C28" s="1">
        <v>60</v>
      </c>
      <c r="D28" s="1"/>
      <c r="E28" s="1" t="s">
        <v>421</v>
      </c>
      <c r="F28" s="1">
        <v>64</v>
      </c>
      <c r="G28" s="38"/>
      <c r="H28" s="153">
        <f t="shared" si="3"/>
        <v>7279</v>
      </c>
      <c r="I28" s="4">
        <v>3499</v>
      </c>
      <c r="J28" s="4">
        <v>3780</v>
      </c>
      <c r="K28" s="4"/>
      <c r="L28" s="4">
        <f t="shared" si="4"/>
        <v>7052</v>
      </c>
      <c r="M28" s="4">
        <v>3411</v>
      </c>
      <c r="N28" s="4">
        <v>3641</v>
      </c>
      <c r="O28" s="4">
        <f t="shared" si="5"/>
        <v>6846</v>
      </c>
      <c r="P28" s="4">
        <v>3288</v>
      </c>
      <c r="Q28" s="4">
        <v>3558</v>
      </c>
      <c r="R28" s="4">
        <f>T28+U28</f>
        <v>6738</v>
      </c>
      <c r="S28" s="10">
        <f t="shared" si="2"/>
        <v>5.8285684627561567</v>
      </c>
      <c r="T28" s="4">
        <v>3230</v>
      </c>
      <c r="U28" s="4">
        <v>3508</v>
      </c>
      <c r="Y28" s="135"/>
    </row>
    <row r="29" spans="2:25" ht="18" customHeight="1">
      <c r="B29" s="1"/>
      <c r="C29" s="1"/>
      <c r="D29" s="1"/>
      <c r="E29" s="1"/>
      <c r="F29" s="1"/>
      <c r="G29" s="7"/>
      <c r="H29" s="15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Y29" s="135"/>
    </row>
    <row r="30" spans="2:25" ht="18" customHeight="1">
      <c r="B30" s="291" t="s">
        <v>423</v>
      </c>
      <c r="C30" s="291"/>
      <c r="D30" s="291"/>
      <c r="E30" s="291"/>
      <c r="F30" s="291"/>
      <c r="G30" s="38"/>
      <c r="H30" s="4">
        <f>SUM(H33:H40)</f>
        <v>34856</v>
      </c>
      <c r="I30" s="4">
        <f>SUM(I33:I40)</f>
        <v>14787</v>
      </c>
      <c r="J30" s="4">
        <f>SUM(J33:J40)</f>
        <v>20069</v>
      </c>
      <c r="K30" s="4"/>
      <c r="L30" s="4">
        <f t="shared" ref="L30:R30" si="7">SUM(L33:L40)</f>
        <v>35150</v>
      </c>
      <c r="M30" s="4">
        <f t="shared" si="7"/>
        <v>14868</v>
      </c>
      <c r="N30" s="4">
        <f t="shared" si="7"/>
        <v>20282</v>
      </c>
      <c r="O30" s="4">
        <f t="shared" si="7"/>
        <v>35322</v>
      </c>
      <c r="P30" s="4">
        <f t="shared" si="7"/>
        <v>14960</v>
      </c>
      <c r="Q30" s="4">
        <f t="shared" si="7"/>
        <v>20362</v>
      </c>
      <c r="R30" s="155">
        <f t="shared" si="7"/>
        <v>35439</v>
      </c>
      <c r="S30" s="67">
        <f>IF(R30&gt;0,R30/R$6*100,"")</f>
        <v>30.655778829269138</v>
      </c>
      <c r="T30" s="155">
        <f>SUM(T33:T40)</f>
        <v>15006</v>
      </c>
      <c r="U30" s="155">
        <f>SUM(U33:U40)</f>
        <v>20433</v>
      </c>
      <c r="Y30" s="135"/>
    </row>
    <row r="31" spans="2:25" ht="18" customHeight="1">
      <c r="B31" s="3"/>
      <c r="C31" s="298" t="s">
        <v>418</v>
      </c>
      <c r="D31" s="298"/>
      <c r="E31" s="298"/>
      <c r="F31" s="298"/>
      <c r="G31" s="39"/>
      <c r="H31" s="10">
        <f>IF(H30&gt;0,H30/H$6*100,"")</f>
        <v>29.830206764343419</v>
      </c>
      <c r="I31" s="10">
        <f>IF(I30&gt;0,I30/H$6*100,"")</f>
        <v>12.654902095029442</v>
      </c>
      <c r="J31" s="10">
        <f>IF(J30&gt;0,J30/H$6*100,"")</f>
        <v>17.175304669313981</v>
      </c>
      <c r="K31" s="10"/>
      <c r="L31" s="10">
        <f>IF(L30&gt;0,L30/L$6*100,"")</f>
        <v>30.153297132219848</v>
      </c>
      <c r="M31" s="10">
        <f>IF(M30&gt;0,M30/L$6*100,"")</f>
        <v>12.754458656098</v>
      </c>
      <c r="N31" s="10">
        <f>IF(N30&gt;0,N30/L$6*100,"")</f>
        <v>17.398838476121846</v>
      </c>
      <c r="O31" s="10">
        <f>IF(O30&gt;0,O30/O$6*100,"")</f>
        <v>30.39680559021712</v>
      </c>
      <c r="P31" s="10">
        <f>IF(P30&gt;0,P30/O$6*100,"")</f>
        <v>12.874022185313633</v>
      </c>
      <c r="Q31" s="10">
        <f>IF(Q30&gt;0,Q30/O$6*100,"")</f>
        <v>17.522783404903489</v>
      </c>
      <c r="R31" s="10">
        <f>IF(R30&gt;0,R30/R$6*100,"")</f>
        <v>30.655778829269138</v>
      </c>
      <c r="S31" s="10"/>
      <c r="T31" s="10">
        <f>IF(T30&gt;0,T30/R$6*100,"")</f>
        <v>12.980631990519278</v>
      </c>
      <c r="U31" s="10">
        <f>IF(U30&gt;0,U30/R$6*100,"")</f>
        <v>17.675146838749857</v>
      </c>
      <c r="Y31" s="135"/>
    </row>
    <row r="32" spans="2:25" ht="18" customHeight="1">
      <c r="B32" s="1"/>
      <c r="C32" s="1"/>
      <c r="D32" s="1"/>
      <c r="E32" s="1"/>
      <c r="F32" s="1"/>
      <c r="G32" s="7"/>
      <c r="H32" s="15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Y32" s="135"/>
    </row>
    <row r="33" spans="2:25" ht="18" customHeight="1">
      <c r="B33" s="1"/>
      <c r="C33" s="1">
        <v>65</v>
      </c>
      <c r="D33" s="1"/>
      <c r="E33" s="1" t="s">
        <v>421</v>
      </c>
      <c r="F33" s="1">
        <v>69</v>
      </c>
      <c r="G33" s="38"/>
      <c r="H33" s="153">
        <f t="shared" ref="H33:H40" si="8">I33+J33</f>
        <v>9806</v>
      </c>
      <c r="I33" s="4">
        <v>4735</v>
      </c>
      <c r="J33" s="4">
        <v>5071</v>
      </c>
      <c r="K33" s="4"/>
      <c r="L33" s="4">
        <f t="shared" ref="L33:L40" si="9">M33+N33</f>
        <v>9248</v>
      </c>
      <c r="M33" s="4">
        <v>4414</v>
      </c>
      <c r="N33" s="4">
        <v>4834</v>
      </c>
      <c r="O33" s="4">
        <f t="shared" ref="O33:O40" si="10">P33+Q33</f>
        <v>8430</v>
      </c>
      <c r="P33" s="4">
        <v>4032</v>
      </c>
      <c r="Q33" s="4">
        <v>4398</v>
      </c>
      <c r="R33" s="4">
        <f>T33+U33</f>
        <v>7899</v>
      </c>
      <c r="S33" s="10">
        <f t="shared" ref="S33:S40" si="11">IF(R33&gt;0,R33/R$6*100,"")</f>
        <v>6.8328676591437949</v>
      </c>
      <c r="T33" s="4">
        <v>3772</v>
      </c>
      <c r="U33" s="4">
        <v>4127</v>
      </c>
      <c r="Y33" s="135"/>
    </row>
    <row r="34" spans="2:25" ht="18" customHeight="1">
      <c r="B34" s="1"/>
      <c r="C34" s="1">
        <v>70</v>
      </c>
      <c r="D34" s="1"/>
      <c r="E34" s="1" t="s">
        <v>421</v>
      </c>
      <c r="F34" s="1">
        <v>74</v>
      </c>
      <c r="G34" s="38"/>
      <c r="H34" s="153">
        <f t="shared" si="8"/>
        <v>7730</v>
      </c>
      <c r="I34" s="4">
        <v>3555</v>
      </c>
      <c r="J34" s="4">
        <v>4175</v>
      </c>
      <c r="K34" s="4"/>
      <c r="L34" s="4">
        <f t="shared" si="9"/>
        <v>8161</v>
      </c>
      <c r="M34" s="4">
        <v>3770</v>
      </c>
      <c r="N34" s="4">
        <v>4391</v>
      </c>
      <c r="O34" s="4">
        <f t="shared" si="10"/>
        <v>8732</v>
      </c>
      <c r="P34" s="4">
        <v>4073</v>
      </c>
      <c r="Q34" s="4">
        <v>4659</v>
      </c>
      <c r="R34" s="4">
        <f t="shared" ref="R34:R40" si="12">T34+U34</f>
        <v>9215</v>
      </c>
      <c r="S34" s="10">
        <f t="shared" si="11"/>
        <v>7.9712464209406333</v>
      </c>
      <c r="T34" s="4">
        <v>4314</v>
      </c>
      <c r="U34" s="4">
        <v>4901</v>
      </c>
      <c r="Y34" s="135"/>
    </row>
    <row r="35" spans="2:25" ht="18" customHeight="1">
      <c r="B35" s="1"/>
      <c r="C35" s="1">
        <v>75</v>
      </c>
      <c r="D35" s="1"/>
      <c r="E35" s="1" t="s">
        <v>421</v>
      </c>
      <c r="F35" s="1">
        <v>79</v>
      </c>
      <c r="G35" s="38"/>
      <c r="H35" s="153">
        <f t="shared" si="8"/>
        <v>6404</v>
      </c>
      <c r="I35" s="4">
        <v>2780</v>
      </c>
      <c r="J35" s="4">
        <v>3624</v>
      </c>
      <c r="K35" s="4"/>
      <c r="L35" s="4">
        <f t="shared" si="9"/>
        <v>6615</v>
      </c>
      <c r="M35" s="4">
        <v>2873</v>
      </c>
      <c r="N35" s="4">
        <v>3742</v>
      </c>
      <c r="O35" s="4">
        <f t="shared" si="10"/>
        <v>6939</v>
      </c>
      <c r="P35" s="4">
        <v>3024</v>
      </c>
      <c r="Q35" s="4">
        <v>3915</v>
      </c>
      <c r="R35" s="4">
        <f t="shared" si="12"/>
        <v>6871</v>
      </c>
      <c r="S35" s="10">
        <f t="shared" si="11"/>
        <v>5.9436173801717951</v>
      </c>
      <c r="T35" s="4">
        <v>2985</v>
      </c>
      <c r="U35" s="4">
        <v>3886</v>
      </c>
      <c r="Y35" s="135"/>
    </row>
    <row r="36" spans="2:25" ht="18" customHeight="1">
      <c r="B36" s="1"/>
      <c r="C36" s="1">
        <v>80</v>
      </c>
      <c r="D36" s="1"/>
      <c r="E36" s="1" t="s">
        <v>421</v>
      </c>
      <c r="F36" s="1">
        <v>84</v>
      </c>
      <c r="G36" s="38"/>
      <c r="H36" s="153">
        <f t="shared" si="8"/>
        <v>5187</v>
      </c>
      <c r="I36" s="4">
        <v>2077</v>
      </c>
      <c r="J36" s="4">
        <v>3110</v>
      </c>
      <c r="K36" s="4"/>
      <c r="L36" s="4">
        <f t="shared" si="9"/>
        <v>5238</v>
      </c>
      <c r="M36" s="4">
        <v>2098</v>
      </c>
      <c r="N36" s="4">
        <v>3140</v>
      </c>
      <c r="O36" s="4">
        <f t="shared" si="10"/>
        <v>5173</v>
      </c>
      <c r="P36" s="4">
        <v>2075</v>
      </c>
      <c r="Q36" s="4">
        <v>3098</v>
      </c>
      <c r="R36" s="4">
        <f t="shared" si="12"/>
        <v>5164</v>
      </c>
      <c r="S36" s="10">
        <f t="shared" si="11"/>
        <v>4.467012101762065</v>
      </c>
      <c r="T36" s="4">
        <v>2084</v>
      </c>
      <c r="U36" s="4">
        <v>3080</v>
      </c>
      <c r="Y36" s="135"/>
    </row>
    <row r="37" spans="2:25" ht="18" customHeight="1">
      <c r="B37" s="1"/>
      <c r="C37" s="1">
        <v>85</v>
      </c>
      <c r="D37" s="1"/>
      <c r="E37" s="1" t="s">
        <v>421</v>
      </c>
      <c r="F37" s="1">
        <v>89</v>
      </c>
      <c r="G37" s="38"/>
      <c r="H37" s="153">
        <f t="shared" si="8"/>
        <v>3492</v>
      </c>
      <c r="I37" s="4">
        <v>1170</v>
      </c>
      <c r="J37" s="4">
        <v>2322</v>
      </c>
      <c r="K37" s="4"/>
      <c r="L37" s="4">
        <f t="shared" si="9"/>
        <v>3554</v>
      </c>
      <c r="M37" s="4">
        <v>1202</v>
      </c>
      <c r="N37" s="4">
        <v>2352</v>
      </c>
      <c r="O37" s="4">
        <f t="shared" si="10"/>
        <v>3633</v>
      </c>
      <c r="P37" s="4">
        <v>1223</v>
      </c>
      <c r="Q37" s="4">
        <v>2410</v>
      </c>
      <c r="R37" s="4">
        <f t="shared" si="12"/>
        <v>3810</v>
      </c>
      <c r="S37" s="10">
        <f t="shared" si="11"/>
        <v>3.2957622207036152</v>
      </c>
      <c r="T37" s="4">
        <v>1302</v>
      </c>
      <c r="U37" s="4">
        <v>2508</v>
      </c>
      <c r="Y37" s="135"/>
    </row>
    <row r="38" spans="2:25" ht="18" customHeight="1">
      <c r="B38" s="1"/>
      <c r="C38" s="1">
        <v>90</v>
      </c>
      <c r="D38" s="1"/>
      <c r="E38" s="1" t="s">
        <v>421</v>
      </c>
      <c r="F38" s="1">
        <v>94</v>
      </c>
      <c r="G38" s="38"/>
      <c r="H38" s="153">
        <f t="shared" si="8"/>
        <v>1639</v>
      </c>
      <c r="I38" s="4">
        <v>372</v>
      </c>
      <c r="J38" s="4">
        <v>1267</v>
      </c>
      <c r="K38" s="4"/>
      <c r="L38" s="4">
        <f t="shared" si="9"/>
        <v>1697</v>
      </c>
      <c r="M38" s="4">
        <v>404</v>
      </c>
      <c r="N38" s="4">
        <v>1293</v>
      </c>
      <c r="O38" s="4">
        <f t="shared" si="10"/>
        <v>1733</v>
      </c>
      <c r="P38" s="4">
        <v>425</v>
      </c>
      <c r="Q38" s="4">
        <v>1308</v>
      </c>
      <c r="R38" s="4">
        <f t="shared" si="12"/>
        <v>1769</v>
      </c>
      <c r="S38" s="10">
        <f t="shared" si="11"/>
        <v>1.5302371045734109</v>
      </c>
      <c r="T38" s="4">
        <v>445</v>
      </c>
      <c r="U38" s="4">
        <v>1324</v>
      </c>
      <c r="Y38" s="135"/>
    </row>
    <row r="39" spans="2:25" ht="18" customHeight="1">
      <c r="B39" s="1"/>
      <c r="C39" s="1">
        <v>95</v>
      </c>
      <c r="D39" s="1"/>
      <c r="E39" s="1" t="s">
        <v>421</v>
      </c>
      <c r="F39" s="1">
        <v>99</v>
      </c>
      <c r="G39" s="38"/>
      <c r="H39" s="153">
        <f t="shared" si="8"/>
        <v>519</v>
      </c>
      <c r="I39" s="4">
        <v>91</v>
      </c>
      <c r="J39" s="4">
        <v>428</v>
      </c>
      <c r="K39" s="4"/>
      <c r="L39" s="4">
        <f t="shared" si="9"/>
        <v>551</v>
      </c>
      <c r="M39" s="4">
        <v>97</v>
      </c>
      <c r="N39" s="4">
        <v>454</v>
      </c>
      <c r="O39" s="4">
        <f t="shared" si="10"/>
        <v>592</v>
      </c>
      <c r="P39" s="4">
        <v>100</v>
      </c>
      <c r="Q39" s="4">
        <v>492</v>
      </c>
      <c r="R39" s="4">
        <f t="shared" si="12"/>
        <v>591</v>
      </c>
      <c r="S39" s="10">
        <f t="shared" si="11"/>
        <v>0.5112324074634742</v>
      </c>
      <c r="T39" s="4">
        <v>91</v>
      </c>
      <c r="U39" s="4">
        <v>500</v>
      </c>
      <c r="Y39" s="135"/>
    </row>
    <row r="40" spans="2:25" ht="18" customHeight="1" thickBot="1">
      <c r="B40" s="6"/>
      <c r="C40" s="29">
        <v>100</v>
      </c>
      <c r="D40" s="6" t="s">
        <v>431</v>
      </c>
      <c r="E40" s="6"/>
      <c r="F40" s="6"/>
      <c r="G40" s="40"/>
      <c r="H40" s="152">
        <f t="shared" si="8"/>
        <v>79</v>
      </c>
      <c r="I40" s="5">
        <v>7</v>
      </c>
      <c r="J40" s="5">
        <v>72</v>
      </c>
      <c r="K40" s="5"/>
      <c r="L40" s="5">
        <f t="shared" si="9"/>
        <v>86</v>
      </c>
      <c r="M40" s="5">
        <v>10</v>
      </c>
      <c r="N40" s="5">
        <v>76</v>
      </c>
      <c r="O40" s="5">
        <f t="shared" si="10"/>
        <v>90</v>
      </c>
      <c r="P40" s="5">
        <v>8</v>
      </c>
      <c r="Q40" s="5">
        <v>82</v>
      </c>
      <c r="R40" s="5">
        <f t="shared" si="12"/>
        <v>120</v>
      </c>
      <c r="S40" s="157">
        <f t="shared" si="11"/>
        <v>0.10380353451035007</v>
      </c>
      <c r="T40" s="5">
        <v>13</v>
      </c>
      <c r="U40" s="5">
        <v>107</v>
      </c>
      <c r="Y40" s="135"/>
    </row>
    <row r="41" spans="2:25" ht="18" customHeight="1">
      <c r="C41" s="2" t="s">
        <v>432</v>
      </c>
    </row>
    <row r="42" spans="2:25">
      <c r="R42" s="1"/>
    </row>
    <row r="47" spans="2:25">
      <c r="H47" s="90"/>
    </row>
  </sheetData>
  <mergeCells count="14">
    <mergeCell ref="C31:F31"/>
    <mergeCell ref="B9:F9"/>
    <mergeCell ref="C10:F10"/>
    <mergeCell ref="B16:F16"/>
    <mergeCell ref="C17:F17"/>
    <mergeCell ref="L2:Q2"/>
    <mergeCell ref="R4:U4"/>
    <mergeCell ref="B30:F30"/>
    <mergeCell ref="L4:N4"/>
    <mergeCell ref="O4:Q4"/>
    <mergeCell ref="B4:F5"/>
    <mergeCell ref="H4:J4"/>
    <mergeCell ref="B6:F6"/>
    <mergeCell ref="C7:F7"/>
  </mergeCells>
  <phoneticPr fontId="2"/>
  <pageMargins left="0.98425196850393704" right="0.31496062992125984" top="0.98425196850393704" bottom="0.59055118110236227" header="0.51181102362204722" footer="0.51181102362204722"/>
  <pageSetup paperSize="9" scale="68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  <pageSetUpPr fitToPage="1"/>
  </sheetPr>
  <dimension ref="B1:AI31"/>
  <sheetViews>
    <sheetView showGridLines="0" view="pageBreakPreview" zoomScale="85" zoomScaleNormal="100" zoomScaleSheetLayoutView="85" workbookViewId="0"/>
  </sheetViews>
  <sheetFormatPr defaultRowHeight="12.75"/>
  <cols>
    <col min="1" max="1" width="3.125" style="2" customWidth="1"/>
    <col min="2" max="2" width="4.625" style="2" customWidth="1"/>
    <col min="3" max="4" width="2.875" style="2" customWidth="1"/>
    <col min="5" max="5" width="1.625" style="2" customWidth="1"/>
    <col min="6" max="6" width="7.375" style="2" customWidth="1"/>
    <col min="7" max="7" width="1.625" style="2" customWidth="1"/>
    <col min="8" max="8" width="6.625" style="2" customWidth="1"/>
    <col min="9" max="9" width="1.625" style="2" customWidth="1"/>
    <col min="10" max="10" width="7.625" style="2" customWidth="1"/>
    <col min="11" max="11" width="1.625" style="2" customWidth="1"/>
    <col min="12" max="12" width="6.625" style="2" customWidth="1"/>
    <col min="13" max="13" width="1.625" style="2" customWidth="1"/>
    <col min="14" max="14" width="6.625" style="2" customWidth="1"/>
    <col min="15" max="15" width="1.25" style="2" customWidth="1"/>
    <col min="16" max="17" width="6.375" style="2" customWidth="1"/>
    <col min="18" max="18" width="5.875" style="2" customWidth="1"/>
    <col min="19" max="19" width="6.25" style="2" customWidth="1"/>
    <col min="20" max="20" width="6" style="2" customWidth="1"/>
    <col min="21" max="21" width="1.25" style="2" customWidth="1"/>
    <col min="22" max="22" width="1.625" style="2" customWidth="1"/>
    <col min="23" max="23" width="8.25" style="2" customWidth="1"/>
    <col min="24" max="24" width="1.25" style="2" customWidth="1"/>
    <col min="25" max="25" width="7.625" style="2" customWidth="1"/>
    <col min="26" max="29" width="6.25" style="2" customWidth="1"/>
    <col min="30" max="30" width="2.5" style="2" customWidth="1"/>
    <col min="31" max="31" width="7.125" style="2" customWidth="1"/>
    <col min="32" max="32" width="2.5" style="2" customWidth="1"/>
    <col min="33" max="33" width="6" style="2" customWidth="1"/>
    <col min="34" max="35" width="9.625" style="2" customWidth="1"/>
    <col min="36" max="16384" width="9" style="2"/>
  </cols>
  <sheetData>
    <row r="1" spans="2:35" ht="18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2:35" ht="18" customHeight="1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5" t="s">
        <v>560</v>
      </c>
      <c r="Q2" s="246" t="s">
        <v>570</v>
      </c>
      <c r="R2" s="246"/>
      <c r="S2" s="246"/>
      <c r="T2" s="246"/>
      <c r="U2" s="246"/>
      <c r="V2" s="246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2:35" ht="18" customHeight="1" thickBo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2:35" ht="18" customHeight="1">
      <c r="B4" s="15"/>
      <c r="C4" s="15"/>
      <c r="D4" s="15"/>
      <c r="E4" s="251" t="s">
        <v>433</v>
      </c>
      <c r="F4" s="252"/>
      <c r="G4" s="252"/>
      <c r="H4" s="301"/>
      <c r="I4" s="251" t="s">
        <v>434</v>
      </c>
      <c r="J4" s="252"/>
      <c r="K4" s="252"/>
      <c r="L4" s="301"/>
      <c r="M4" s="251" t="s">
        <v>435</v>
      </c>
      <c r="N4" s="252"/>
      <c r="O4" s="252"/>
      <c r="P4" s="252"/>
      <c r="Q4" s="252"/>
      <c r="R4" s="252"/>
      <c r="S4" s="252"/>
      <c r="T4" s="301"/>
      <c r="U4" s="96"/>
      <c r="V4" s="252" t="s">
        <v>436</v>
      </c>
      <c r="W4" s="252"/>
      <c r="X4" s="252"/>
      <c r="Y4" s="252"/>
      <c r="Z4" s="252"/>
      <c r="AA4" s="252"/>
      <c r="AB4" s="252"/>
      <c r="AC4" s="301"/>
      <c r="AD4" s="251" t="s">
        <v>437</v>
      </c>
      <c r="AE4" s="252"/>
      <c r="AF4" s="252"/>
      <c r="AG4" s="310"/>
      <c r="AH4" s="100" t="s">
        <v>438</v>
      </c>
      <c r="AI4" s="96" t="s">
        <v>438</v>
      </c>
    </row>
    <row r="5" spans="2:35" ht="18" customHeight="1">
      <c r="B5" s="298" t="s">
        <v>28</v>
      </c>
      <c r="C5" s="298"/>
      <c r="D5" s="1"/>
      <c r="E5" s="97"/>
      <c r="F5" s="14"/>
      <c r="G5" s="14"/>
      <c r="H5" s="14"/>
      <c r="I5" s="97"/>
      <c r="J5" s="14"/>
      <c r="K5" s="14"/>
      <c r="L5" s="14"/>
      <c r="M5" s="304" t="s">
        <v>515</v>
      </c>
      <c r="N5" s="302"/>
      <c r="O5" s="302"/>
      <c r="P5" s="303"/>
      <c r="Q5" s="304" t="s">
        <v>439</v>
      </c>
      <c r="R5" s="303"/>
      <c r="S5" s="304" t="s">
        <v>440</v>
      </c>
      <c r="T5" s="303"/>
      <c r="U5" s="95"/>
      <c r="V5" s="302" t="s">
        <v>441</v>
      </c>
      <c r="W5" s="302"/>
      <c r="X5" s="302"/>
      <c r="Y5" s="303"/>
      <c r="Z5" s="304" t="s">
        <v>442</v>
      </c>
      <c r="AA5" s="303"/>
      <c r="AB5" s="304" t="s">
        <v>443</v>
      </c>
      <c r="AC5" s="303"/>
      <c r="AD5" s="97"/>
      <c r="AE5" s="14"/>
      <c r="AF5" s="14"/>
      <c r="AG5" s="14"/>
      <c r="AH5" s="101"/>
      <c r="AI5" s="97"/>
    </row>
    <row r="6" spans="2:35" ht="18" customHeight="1">
      <c r="B6" s="298" t="s">
        <v>444</v>
      </c>
      <c r="C6" s="298"/>
      <c r="D6" s="1"/>
      <c r="E6" s="305" t="s">
        <v>33</v>
      </c>
      <c r="F6" s="306"/>
      <c r="G6" s="12"/>
      <c r="H6" s="12"/>
      <c r="I6" s="305" t="s">
        <v>33</v>
      </c>
      <c r="J6" s="306"/>
      <c r="K6" s="12"/>
      <c r="L6" s="12"/>
      <c r="M6" s="305" t="s">
        <v>33</v>
      </c>
      <c r="N6" s="306"/>
      <c r="O6" s="12"/>
      <c r="P6" s="12"/>
      <c r="Q6" s="105" t="s">
        <v>33</v>
      </c>
      <c r="R6" s="12"/>
      <c r="S6" s="105" t="s">
        <v>33</v>
      </c>
      <c r="T6" s="12"/>
      <c r="U6" s="97"/>
      <c r="V6" s="306" t="s">
        <v>33</v>
      </c>
      <c r="W6" s="306"/>
      <c r="X6" s="12"/>
      <c r="Y6" s="12"/>
      <c r="Z6" s="105" t="s">
        <v>33</v>
      </c>
      <c r="AA6" s="12"/>
      <c r="AB6" s="105" t="s">
        <v>33</v>
      </c>
      <c r="AC6" s="12"/>
      <c r="AD6" s="305" t="s">
        <v>33</v>
      </c>
      <c r="AE6" s="306"/>
      <c r="AF6" s="12"/>
      <c r="AG6" s="12"/>
      <c r="AH6" s="101" t="s">
        <v>445</v>
      </c>
      <c r="AI6" s="97" t="s">
        <v>446</v>
      </c>
    </row>
    <row r="7" spans="2:35" ht="18" customHeight="1">
      <c r="B7" s="17"/>
      <c r="C7" s="17"/>
      <c r="D7" s="17"/>
      <c r="E7" s="18"/>
      <c r="F7" s="12"/>
      <c r="G7" s="307" t="s">
        <v>447</v>
      </c>
      <c r="H7" s="309"/>
      <c r="I7" s="18"/>
      <c r="J7" s="12"/>
      <c r="K7" s="307" t="s">
        <v>447</v>
      </c>
      <c r="L7" s="309"/>
      <c r="M7" s="18"/>
      <c r="N7" s="12"/>
      <c r="O7" s="307" t="s">
        <v>447</v>
      </c>
      <c r="P7" s="309"/>
      <c r="Q7" s="18"/>
      <c r="R7" s="102" t="s">
        <v>447</v>
      </c>
      <c r="S7" s="18"/>
      <c r="T7" s="102" t="s">
        <v>447</v>
      </c>
      <c r="U7" s="18"/>
      <c r="V7" s="12"/>
      <c r="W7" s="12"/>
      <c r="X7" s="307" t="s">
        <v>447</v>
      </c>
      <c r="Y7" s="309"/>
      <c r="Z7" s="18"/>
      <c r="AA7" s="102" t="s">
        <v>447</v>
      </c>
      <c r="AB7" s="18"/>
      <c r="AC7" s="102" t="s">
        <v>447</v>
      </c>
      <c r="AD7" s="18"/>
      <c r="AE7" s="12"/>
      <c r="AF7" s="307" t="s">
        <v>447</v>
      </c>
      <c r="AG7" s="308"/>
      <c r="AH7" s="103"/>
      <c r="AI7" s="18"/>
    </row>
    <row r="8" spans="2:35" ht="18" customHeight="1">
      <c r="B8" s="1" t="s">
        <v>484</v>
      </c>
      <c r="C8" s="1">
        <v>28</v>
      </c>
      <c r="D8" s="1"/>
      <c r="E8" s="127"/>
      <c r="F8" s="128">
        <v>-439</v>
      </c>
      <c r="G8" s="128"/>
      <c r="H8" s="128">
        <v>-267</v>
      </c>
      <c r="I8" s="128"/>
      <c r="J8" s="128">
        <v>-629</v>
      </c>
      <c r="K8" s="128"/>
      <c r="L8" s="128">
        <v>-323</v>
      </c>
      <c r="M8" s="128" t="s">
        <v>483</v>
      </c>
      <c r="N8" s="128">
        <v>-476</v>
      </c>
      <c r="O8" s="128"/>
      <c r="P8" s="131">
        <v>-235</v>
      </c>
      <c r="Q8" s="128">
        <v>938</v>
      </c>
      <c r="R8" s="128">
        <v>468</v>
      </c>
      <c r="S8" s="128">
        <v>1414</v>
      </c>
      <c r="T8" s="128">
        <v>703</v>
      </c>
      <c r="U8" s="128"/>
      <c r="V8" s="128"/>
      <c r="W8" s="128">
        <v>37</v>
      </c>
      <c r="X8" s="128"/>
      <c r="Y8" s="128">
        <v>-32</v>
      </c>
      <c r="Z8" s="128">
        <v>4880</v>
      </c>
      <c r="AA8" s="128">
        <v>2946</v>
      </c>
      <c r="AB8" s="128">
        <v>4843</v>
      </c>
      <c r="AC8" s="128">
        <v>2978</v>
      </c>
      <c r="AD8" s="128"/>
      <c r="AE8" s="128">
        <v>190</v>
      </c>
      <c r="AF8" s="128"/>
      <c r="AG8" s="128">
        <v>56</v>
      </c>
      <c r="AH8" s="128">
        <v>608</v>
      </c>
      <c r="AI8" s="128">
        <v>191</v>
      </c>
    </row>
    <row r="9" spans="2:35" ht="18" customHeight="1">
      <c r="B9" s="1"/>
      <c r="C9" s="1">
        <v>29</v>
      </c>
      <c r="D9" s="117"/>
      <c r="E9" s="127"/>
      <c r="F9" s="128">
        <v>-486</v>
      </c>
      <c r="G9" s="128"/>
      <c r="H9" s="128">
        <v>-251</v>
      </c>
      <c r="I9" s="128"/>
      <c r="J9" s="128">
        <v>-603</v>
      </c>
      <c r="K9" s="128"/>
      <c r="L9" s="128">
        <v>-285</v>
      </c>
      <c r="M9" s="128" t="s">
        <v>483</v>
      </c>
      <c r="N9" s="128">
        <v>-456</v>
      </c>
      <c r="O9" s="128"/>
      <c r="P9" s="131">
        <v>-217</v>
      </c>
      <c r="Q9" s="128">
        <v>985</v>
      </c>
      <c r="R9" s="128">
        <v>511</v>
      </c>
      <c r="S9" s="128">
        <v>1441</v>
      </c>
      <c r="T9" s="128">
        <v>728</v>
      </c>
      <c r="U9" s="128"/>
      <c r="V9" s="128"/>
      <c r="W9" s="128">
        <v>98</v>
      </c>
      <c r="X9" s="128"/>
      <c r="Y9" s="128">
        <v>-8</v>
      </c>
      <c r="Z9" s="128">
        <v>5051</v>
      </c>
      <c r="AA9" s="128">
        <v>3016</v>
      </c>
      <c r="AB9" s="128">
        <v>4953</v>
      </c>
      <c r="AC9" s="128">
        <v>3024</v>
      </c>
      <c r="AD9" s="128"/>
      <c r="AE9" s="128">
        <v>117</v>
      </c>
      <c r="AF9" s="128"/>
      <c r="AG9" s="128">
        <v>34</v>
      </c>
      <c r="AH9" s="128">
        <v>528</v>
      </c>
      <c r="AI9" s="128">
        <v>232</v>
      </c>
    </row>
    <row r="10" spans="2:35" ht="18" customHeight="1">
      <c r="B10" s="1"/>
      <c r="C10" s="1">
        <v>30</v>
      </c>
      <c r="D10" s="117"/>
      <c r="E10" s="127"/>
      <c r="F10" s="128">
        <v>-242</v>
      </c>
      <c r="G10" s="128"/>
      <c r="H10" s="128">
        <v>-11</v>
      </c>
      <c r="I10" s="128"/>
      <c r="J10" s="128">
        <v>-505</v>
      </c>
      <c r="K10" s="128"/>
      <c r="L10" s="128">
        <v>-192</v>
      </c>
      <c r="M10" s="128" t="s">
        <v>483</v>
      </c>
      <c r="N10" s="128">
        <v>-567</v>
      </c>
      <c r="O10" s="128"/>
      <c r="P10" s="131">
        <v>-272</v>
      </c>
      <c r="Q10" s="128">
        <v>865</v>
      </c>
      <c r="R10" s="128">
        <v>446</v>
      </c>
      <c r="S10" s="128">
        <v>1432</v>
      </c>
      <c r="T10" s="128">
        <v>718</v>
      </c>
      <c r="U10" s="128"/>
      <c r="V10" s="128"/>
      <c r="W10" s="128">
        <v>526</v>
      </c>
      <c r="X10" s="128"/>
      <c r="Y10" s="128">
        <v>316</v>
      </c>
      <c r="Z10" s="128">
        <v>5377</v>
      </c>
      <c r="AA10" s="128">
        <v>3247</v>
      </c>
      <c r="AB10" s="128">
        <v>4851</v>
      </c>
      <c r="AC10" s="128">
        <v>2931</v>
      </c>
      <c r="AD10" s="128"/>
      <c r="AE10" s="128">
        <v>263</v>
      </c>
      <c r="AF10" s="128"/>
      <c r="AG10" s="128">
        <v>181</v>
      </c>
      <c r="AH10" s="128">
        <v>522</v>
      </c>
      <c r="AI10" s="128">
        <v>208</v>
      </c>
    </row>
    <row r="11" spans="2:35" s="11" customFormat="1" ht="18" customHeight="1">
      <c r="B11" s="1" t="s">
        <v>571</v>
      </c>
      <c r="C11" s="244" t="s">
        <v>573</v>
      </c>
      <c r="D11" s="2"/>
      <c r="E11" s="127"/>
      <c r="F11" s="128">
        <v>-551</v>
      </c>
      <c r="G11" s="128"/>
      <c r="H11" s="128">
        <v>-272</v>
      </c>
      <c r="I11" s="128"/>
      <c r="J11" s="128">
        <v>-659</v>
      </c>
      <c r="K11" s="128"/>
      <c r="L11" s="128">
        <v>-322</v>
      </c>
      <c r="M11" s="128"/>
      <c r="N11" s="128">
        <v>-602</v>
      </c>
      <c r="O11" s="128"/>
      <c r="P11" s="131">
        <v>-287</v>
      </c>
      <c r="Q11" s="128">
        <v>872</v>
      </c>
      <c r="R11" s="128">
        <v>449</v>
      </c>
      <c r="S11" s="128">
        <v>1474</v>
      </c>
      <c r="T11" s="128">
        <v>736</v>
      </c>
      <c r="U11" s="128"/>
      <c r="V11" s="128"/>
      <c r="W11" s="128">
        <v>279</v>
      </c>
      <c r="X11" s="128"/>
      <c r="Y11" s="128">
        <v>111</v>
      </c>
      <c r="Z11" s="128">
        <v>5426</v>
      </c>
      <c r="AA11" s="128">
        <v>3194</v>
      </c>
      <c r="AB11" s="128">
        <v>5147</v>
      </c>
      <c r="AC11" s="128">
        <v>3083</v>
      </c>
      <c r="AD11" s="128"/>
      <c r="AE11" s="128">
        <v>108</v>
      </c>
      <c r="AF11" s="128"/>
      <c r="AG11" s="128">
        <v>50</v>
      </c>
      <c r="AH11" s="128">
        <v>561</v>
      </c>
      <c r="AI11" s="128">
        <v>187</v>
      </c>
    </row>
    <row r="12" spans="2:35" s="11" customFormat="1" ht="18" customHeight="1">
      <c r="B12" s="1"/>
      <c r="C12" s="2"/>
      <c r="D12" s="2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31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2:35" s="11" customFormat="1" ht="18" customHeight="1">
      <c r="B13" s="104"/>
      <c r="C13" s="99">
        <v>2</v>
      </c>
      <c r="E13" s="129"/>
      <c r="F13" s="210">
        <v>-483</v>
      </c>
      <c r="G13" s="210"/>
      <c r="H13" s="210">
        <v>-191</v>
      </c>
      <c r="I13" s="210"/>
      <c r="J13" s="210">
        <v>-326</v>
      </c>
      <c r="K13" s="210"/>
      <c r="L13" s="210">
        <v>-119</v>
      </c>
      <c r="M13" s="210"/>
      <c r="N13" s="210">
        <v>-560</v>
      </c>
      <c r="O13" s="210"/>
      <c r="P13" s="211">
        <v>-267</v>
      </c>
      <c r="Q13" s="210">
        <v>849</v>
      </c>
      <c r="R13" s="210">
        <v>449</v>
      </c>
      <c r="S13" s="210">
        <v>1409</v>
      </c>
      <c r="T13" s="210">
        <v>716</v>
      </c>
      <c r="U13" s="210"/>
      <c r="V13" s="210"/>
      <c r="W13" s="210">
        <v>193</v>
      </c>
      <c r="X13" s="210"/>
      <c r="Y13" s="210">
        <v>132</v>
      </c>
      <c r="Z13" s="210">
        <v>5313</v>
      </c>
      <c r="AA13" s="210">
        <v>3321</v>
      </c>
      <c r="AB13" s="210">
        <v>5120</v>
      </c>
      <c r="AC13" s="210">
        <v>3189</v>
      </c>
      <c r="AD13" s="210"/>
      <c r="AE13" s="210">
        <v>-157</v>
      </c>
      <c r="AF13" s="210"/>
      <c r="AG13" s="210">
        <v>-72</v>
      </c>
      <c r="AH13" s="210">
        <v>431</v>
      </c>
      <c r="AI13" s="210">
        <v>191</v>
      </c>
    </row>
    <row r="14" spans="2:35" ht="18" customHeight="1">
      <c r="B14" s="1"/>
      <c r="C14" s="1"/>
      <c r="D14" s="1"/>
      <c r="E14" s="127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2:35" ht="18" customHeight="1">
      <c r="B15" s="35">
        <v>2</v>
      </c>
      <c r="C15" s="1">
        <v>1</v>
      </c>
      <c r="D15" s="1" t="s">
        <v>444</v>
      </c>
      <c r="E15" s="127"/>
      <c r="F15" s="128">
        <v>-152</v>
      </c>
      <c r="G15" s="128"/>
      <c r="H15" s="128">
        <v>-96</v>
      </c>
      <c r="I15" s="128"/>
      <c r="J15" s="128">
        <v>-144</v>
      </c>
      <c r="K15" s="128"/>
      <c r="L15" s="128">
        <v>-81</v>
      </c>
      <c r="M15" s="128"/>
      <c r="N15" s="128">
        <v>-80</v>
      </c>
      <c r="O15" s="128"/>
      <c r="P15" s="128">
        <v>-30</v>
      </c>
      <c r="Q15" s="128">
        <v>83</v>
      </c>
      <c r="R15" s="128">
        <v>45</v>
      </c>
      <c r="S15" s="128">
        <v>163</v>
      </c>
      <c r="T15" s="128">
        <v>75</v>
      </c>
      <c r="U15" s="128"/>
      <c r="V15" s="128"/>
      <c r="W15" s="128">
        <v>-52</v>
      </c>
      <c r="X15" s="128"/>
      <c r="Y15" s="128">
        <v>-46</v>
      </c>
      <c r="Z15" s="128">
        <v>228</v>
      </c>
      <c r="AA15" s="128">
        <v>123</v>
      </c>
      <c r="AB15" s="128">
        <v>280</v>
      </c>
      <c r="AC15" s="128">
        <v>169</v>
      </c>
      <c r="AD15" s="128"/>
      <c r="AE15" s="128">
        <v>-8</v>
      </c>
      <c r="AF15" s="128"/>
      <c r="AG15" s="128">
        <v>-15</v>
      </c>
      <c r="AH15" s="128">
        <v>30</v>
      </c>
      <c r="AI15" s="128">
        <v>12</v>
      </c>
    </row>
    <row r="16" spans="2:35" ht="18" customHeight="1">
      <c r="B16" s="1"/>
      <c r="C16" s="1">
        <v>2</v>
      </c>
      <c r="D16" s="1"/>
      <c r="E16" s="127"/>
      <c r="F16" s="128">
        <v>-59</v>
      </c>
      <c r="G16" s="128"/>
      <c r="H16" s="128">
        <v>-14</v>
      </c>
      <c r="I16" s="128"/>
      <c r="J16" s="128">
        <v>-81</v>
      </c>
      <c r="K16" s="128"/>
      <c r="L16" s="128">
        <v>-33</v>
      </c>
      <c r="M16" s="128"/>
      <c r="N16" s="128">
        <v>-61</v>
      </c>
      <c r="O16" s="128"/>
      <c r="P16" s="128">
        <v>-24</v>
      </c>
      <c r="Q16" s="128">
        <v>47</v>
      </c>
      <c r="R16" s="128">
        <v>21</v>
      </c>
      <c r="S16" s="128">
        <v>108</v>
      </c>
      <c r="T16" s="128">
        <v>45</v>
      </c>
      <c r="U16" s="128"/>
      <c r="V16" s="128"/>
      <c r="W16" s="128">
        <v>2</v>
      </c>
      <c r="X16" s="128"/>
      <c r="Y16" s="128">
        <v>9</v>
      </c>
      <c r="Z16" s="128">
        <v>258</v>
      </c>
      <c r="AA16" s="128">
        <v>141</v>
      </c>
      <c r="AB16" s="128">
        <v>256</v>
      </c>
      <c r="AC16" s="128">
        <v>132</v>
      </c>
      <c r="AD16" s="128"/>
      <c r="AE16" s="128">
        <v>22</v>
      </c>
      <c r="AF16" s="212"/>
      <c r="AG16" s="128">
        <v>19</v>
      </c>
      <c r="AH16" s="128">
        <v>61</v>
      </c>
      <c r="AI16" s="128">
        <v>19</v>
      </c>
    </row>
    <row r="17" spans="2:35" ht="18" customHeight="1">
      <c r="B17" s="1"/>
      <c r="C17" s="1">
        <v>3</v>
      </c>
      <c r="D17" s="1"/>
      <c r="E17" s="127"/>
      <c r="F17" s="128">
        <v>-294</v>
      </c>
      <c r="G17" s="128"/>
      <c r="H17" s="128">
        <v>-141</v>
      </c>
      <c r="I17" s="128"/>
      <c r="J17" s="128">
        <v>-275</v>
      </c>
      <c r="K17" s="128"/>
      <c r="L17" s="128">
        <v>-127</v>
      </c>
      <c r="M17" s="128"/>
      <c r="N17" s="128">
        <v>-75</v>
      </c>
      <c r="O17" s="128"/>
      <c r="P17" s="128">
        <v>-33</v>
      </c>
      <c r="Q17" s="128">
        <v>57</v>
      </c>
      <c r="R17" s="128">
        <v>29</v>
      </c>
      <c r="S17" s="128">
        <v>132</v>
      </c>
      <c r="T17" s="128">
        <v>62</v>
      </c>
      <c r="U17" s="128"/>
      <c r="V17" s="128"/>
      <c r="W17" s="128">
        <v>-177</v>
      </c>
      <c r="X17" s="128"/>
      <c r="Y17" s="128">
        <v>-87</v>
      </c>
      <c r="Z17" s="128">
        <v>826</v>
      </c>
      <c r="AA17" s="128">
        <v>477</v>
      </c>
      <c r="AB17" s="128">
        <v>1003</v>
      </c>
      <c r="AC17" s="128">
        <v>564</v>
      </c>
      <c r="AD17" s="128"/>
      <c r="AE17" s="128">
        <v>-19</v>
      </c>
      <c r="AF17" s="128"/>
      <c r="AG17" s="128">
        <v>-14</v>
      </c>
      <c r="AH17" s="128">
        <v>29</v>
      </c>
      <c r="AI17" s="128">
        <v>24</v>
      </c>
    </row>
    <row r="18" spans="2:35" ht="18" customHeight="1">
      <c r="B18" s="1"/>
      <c r="C18" s="1">
        <v>4</v>
      </c>
      <c r="D18" s="1"/>
      <c r="E18" s="127"/>
      <c r="F18" s="128">
        <v>1500</v>
      </c>
      <c r="G18" s="128"/>
      <c r="H18" s="128">
        <v>1102</v>
      </c>
      <c r="I18" s="128"/>
      <c r="J18" s="128">
        <v>1519</v>
      </c>
      <c r="K18" s="128"/>
      <c r="L18" s="128">
        <v>1107</v>
      </c>
      <c r="M18" s="212"/>
      <c r="N18" s="128">
        <v>-34</v>
      </c>
      <c r="O18" s="212"/>
      <c r="P18" s="128">
        <v>-9</v>
      </c>
      <c r="Q18" s="128">
        <v>79</v>
      </c>
      <c r="R18" s="128">
        <v>42</v>
      </c>
      <c r="S18" s="128">
        <v>113</v>
      </c>
      <c r="T18" s="128">
        <v>51</v>
      </c>
      <c r="U18" s="128"/>
      <c r="V18" s="128"/>
      <c r="W18" s="128">
        <v>1537</v>
      </c>
      <c r="X18" s="128"/>
      <c r="Y18" s="128">
        <v>1105</v>
      </c>
      <c r="Z18" s="128">
        <v>1890</v>
      </c>
      <c r="AA18" s="128">
        <v>1312</v>
      </c>
      <c r="AB18" s="128">
        <v>353</v>
      </c>
      <c r="AC18" s="128">
        <v>207</v>
      </c>
      <c r="AD18" s="128"/>
      <c r="AE18" s="128">
        <v>-19</v>
      </c>
      <c r="AF18" s="128"/>
      <c r="AG18" s="128">
        <v>-5</v>
      </c>
      <c r="AH18" s="212">
        <v>35</v>
      </c>
      <c r="AI18" s="128">
        <v>12</v>
      </c>
    </row>
    <row r="19" spans="2:35" ht="18" customHeight="1">
      <c r="B19" s="35"/>
      <c r="C19" s="1">
        <v>5</v>
      </c>
      <c r="D19" s="1"/>
      <c r="E19" s="127"/>
      <c r="F19" s="128">
        <v>-39</v>
      </c>
      <c r="G19" s="128"/>
      <c r="H19" s="128">
        <v>-10</v>
      </c>
      <c r="I19" s="128"/>
      <c r="J19" s="128">
        <v>-5</v>
      </c>
      <c r="K19" s="128"/>
      <c r="L19" s="128">
        <v>6</v>
      </c>
      <c r="M19" s="128"/>
      <c r="N19" s="128">
        <v>-27</v>
      </c>
      <c r="O19" s="128"/>
      <c r="P19" s="128">
        <v>-2</v>
      </c>
      <c r="Q19" s="128">
        <v>72</v>
      </c>
      <c r="R19" s="128">
        <v>44</v>
      </c>
      <c r="S19" s="128">
        <v>99</v>
      </c>
      <c r="T19" s="128">
        <v>46</v>
      </c>
      <c r="U19" s="128"/>
      <c r="V19" s="128"/>
      <c r="W19" s="128">
        <v>-8</v>
      </c>
      <c r="X19" s="128"/>
      <c r="Y19" s="128">
        <v>-8</v>
      </c>
      <c r="Z19" s="128">
        <v>223</v>
      </c>
      <c r="AA19" s="128">
        <v>138</v>
      </c>
      <c r="AB19" s="128">
        <v>231</v>
      </c>
      <c r="AC19" s="128">
        <v>146</v>
      </c>
      <c r="AD19" s="128"/>
      <c r="AE19" s="128">
        <v>-34</v>
      </c>
      <c r="AF19" s="128"/>
      <c r="AG19" s="128">
        <v>-16</v>
      </c>
      <c r="AH19" s="128">
        <v>37</v>
      </c>
      <c r="AI19" s="128">
        <v>16</v>
      </c>
    </row>
    <row r="20" spans="2:35" ht="18" customHeight="1">
      <c r="B20" s="1"/>
      <c r="C20" s="1">
        <v>6</v>
      </c>
      <c r="D20" s="1"/>
      <c r="E20" s="127"/>
      <c r="F20" s="128">
        <v>-75</v>
      </c>
      <c r="G20" s="128"/>
      <c r="H20" s="128">
        <v>-57</v>
      </c>
      <c r="I20" s="128"/>
      <c r="J20" s="128">
        <v>-46</v>
      </c>
      <c r="K20" s="128"/>
      <c r="L20" s="128">
        <v>-38</v>
      </c>
      <c r="M20" s="128"/>
      <c r="N20" s="128">
        <v>-43</v>
      </c>
      <c r="O20" s="128"/>
      <c r="P20" s="128">
        <v>-16</v>
      </c>
      <c r="Q20" s="128">
        <v>69</v>
      </c>
      <c r="R20" s="128">
        <v>41</v>
      </c>
      <c r="S20" s="128">
        <v>112</v>
      </c>
      <c r="T20" s="128">
        <v>57</v>
      </c>
      <c r="U20" s="128"/>
      <c r="V20" s="128"/>
      <c r="W20" s="128">
        <v>-29</v>
      </c>
      <c r="X20" s="128"/>
      <c r="Y20" s="128">
        <v>-39</v>
      </c>
      <c r="Z20" s="128">
        <v>219</v>
      </c>
      <c r="AA20" s="128">
        <v>124</v>
      </c>
      <c r="AB20" s="128">
        <v>248</v>
      </c>
      <c r="AC20" s="128">
        <v>163</v>
      </c>
      <c r="AD20" s="128"/>
      <c r="AE20" s="128">
        <v>-29</v>
      </c>
      <c r="AF20" s="128"/>
      <c r="AG20" s="128">
        <v>-19</v>
      </c>
      <c r="AH20" s="128">
        <v>36</v>
      </c>
      <c r="AI20" s="128">
        <v>16</v>
      </c>
    </row>
    <row r="21" spans="2:35" ht="18" customHeight="1">
      <c r="B21" s="1"/>
      <c r="C21" s="1">
        <v>7</v>
      </c>
      <c r="D21" s="1"/>
      <c r="E21" s="127"/>
      <c r="F21" s="131">
        <v>-1264</v>
      </c>
      <c r="G21" s="128"/>
      <c r="H21" s="128">
        <v>-934</v>
      </c>
      <c r="I21" s="128"/>
      <c r="J21" s="128">
        <v>-1241</v>
      </c>
      <c r="K21" s="128"/>
      <c r="L21" s="128">
        <v>-927</v>
      </c>
      <c r="M21" s="128"/>
      <c r="N21" s="128">
        <v>-15</v>
      </c>
      <c r="O21" s="128"/>
      <c r="P21" s="128">
        <v>-18</v>
      </c>
      <c r="Q21" s="128">
        <v>85</v>
      </c>
      <c r="R21" s="128">
        <v>38</v>
      </c>
      <c r="S21" s="128">
        <v>100</v>
      </c>
      <c r="T21" s="128">
        <v>56</v>
      </c>
      <c r="U21" s="128"/>
      <c r="V21" s="128"/>
      <c r="W21" s="128">
        <v>-1245</v>
      </c>
      <c r="X21" s="128"/>
      <c r="Y21" s="128">
        <v>-912</v>
      </c>
      <c r="Z21" s="128">
        <v>213</v>
      </c>
      <c r="AA21" s="128">
        <v>131</v>
      </c>
      <c r="AB21" s="128">
        <v>1458</v>
      </c>
      <c r="AC21" s="128">
        <v>1043</v>
      </c>
      <c r="AD21" s="128"/>
      <c r="AE21" s="128">
        <v>-23</v>
      </c>
      <c r="AF21" s="128"/>
      <c r="AG21" s="128">
        <v>-7</v>
      </c>
      <c r="AH21" s="128">
        <v>30</v>
      </c>
      <c r="AI21" s="128">
        <v>14</v>
      </c>
    </row>
    <row r="22" spans="2:35" ht="18" customHeight="1">
      <c r="B22" s="1"/>
      <c r="C22" s="1">
        <v>8</v>
      </c>
      <c r="D22" s="1"/>
      <c r="E22" s="127"/>
      <c r="F22" s="128">
        <v>9</v>
      </c>
      <c r="G22" s="128"/>
      <c r="H22" s="128">
        <v>-16</v>
      </c>
      <c r="I22" s="212"/>
      <c r="J22" s="128">
        <v>29</v>
      </c>
      <c r="K22" s="212"/>
      <c r="L22" s="128">
        <v>-10</v>
      </c>
      <c r="M22" s="128"/>
      <c r="N22" s="128">
        <v>-45</v>
      </c>
      <c r="O22" s="128"/>
      <c r="P22" s="128">
        <v>-43</v>
      </c>
      <c r="Q22" s="128">
        <v>70</v>
      </c>
      <c r="R22" s="128">
        <v>29</v>
      </c>
      <c r="S22" s="128">
        <v>115</v>
      </c>
      <c r="T22" s="128">
        <v>72</v>
      </c>
      <c r="U22" s="128"/>
      <c r="V22" s="128"/>
      <c r="W22" s="128">
        <v>66</v>
      </c>
      <c r="X22" s="212"/>
      <c r="Y22" s="128">
        <v>32</v>
      </c>
      <c r="Z22" s="128">
        <v>256</v>
      </c>
      <c r="AA22" s="128">
        <v>143</v>
      </c>
      <c r="AB22" s="128">
        <v>190</v>
      </c>
      <c r="AC22" s="128">
        <v>111</v>
      </c>
      <c r="AD22" s="128"/>
      <c r="AE22" s="128">
        <v>-20</v>
      </c>
      <c r="AF22" s="128"/>
      <c r="AG22" s="128">
        <v>-6</v>
      </c>
      <c r="AH22" s="128">
        <v>41</v>
      </c>
      <c r="AI22" s="128">
        <v>14</v>
      </c>
    </row>
    <row r="23" spans="2:35" ht="18" customHeight="1">
      <c r="B23" s="1"/>
      <c r="C23" s="1">
        <v>9</v>
      </c>
      <c r="D23" s="1"/>
      <c r="E23" s="127"/>
      <c r="F23" s="128">
        <v>104</v>
      </c>
      <c r="G23" s="128"/>
      <c r="H23" s="128">
        <v>74</v>
      </c>
      <c r="I23" s="128"/>
      <c r="J23" s="128">
        <v>120</v>
      </c>
      <c r="K23" s="128"/>
      <c r="L23" s="128">
        <v>66</v>
      </c>
      <c r="M23" s="128"/>
      <c r="N23" s="128">
        <v>-46</v>
      </c>
      <c r="O23" s="128"/>
      <c r="P23" s="128">
        <v>-29</v>
      </c>
      <c r="Q23" s="128">
        <v>70</v>
      </c>
      <c r="R23" s="128">
        <v>40</v>
      </c>
      <c r="S23" s="128">
        <v>116</v>
      </c>
      <c r="T23" s="128">
        <v>69</v>
      </c>
      <c r="U23" s="128"/>
      <c r="V23" s="128"/>
      <c r="W23" s="128">
        <v>155</v>
      </c>
      <c r="X23" s="128"/>
      <c r="Y23" s="128">
        <v>106</v>
      </c>
      <c r="Z23" s="128">
        <v>412</v>
      </c>
      <c r="AA23" s="128">
        <v>260</v>
      </c>
      <c r="AB23" s="128">
        <v>257</v>
      </c>
      <c r="AC23" s="128">
        <v>154</v>
      </c>
      <c r="AD23" s="128"/>
      <c r="AE23" s="128">
        <v>-16</v>
      </c>
      <c r="AF23" s="128"/>
      <c r="AG23" s="128">
        <v>8</v>
      </c>
      <c r="AH23" s="128">
        <v>23</v>
      </c>
      <c r="AI23" s="128">
        <v>16</v>
      </c>
    </row>
    <row r="24" spans="2:35" ht="18" customHeight="1">
      <c r="B24" s="1"/>
      <c r="C24" s="1">
        <v>10</v>
      </c>
      <c r="D24" s="1"/>
      <c r="E24" s="127"/>
      <c r="F24" s="128">
        <v>24</v>
      </c>
      <c r="G24" s="128"/>
      <c r="H24" s="128">
        <v>43</v>
      </c>
      <c r="I24" s="128"/>
      <c r="J24" s="128">
        <v>23</v>
      </c>
      <c r="K24" s="128"/>
      <c r="L24" s="128">
        <v>39</v>
      </c>
      <c r="M24" s="128"/>
      <c r="N24" s="128">
        <v>-35</v>
      </c>
      <c r="O24" s="128"/>
      <c r="P24" s="128">
        <v>-13</v>
      </c>
      <c r="Q24" s="128">
        <v>72</v>
      </c>
      <c r="R24" s="128">
        <v>38</v>
      </c>
      <c r="S24" s="128">
        <v>107</v>
      </c>
      <c r="T24" s="128">
        <v>51</v>
      </c>
      <c r="U24" s="128"/>
      <c r="V24" s="128"/>
      <c r="W24" s="128">
        <v>61</v>
      </c>
      <c r="X24" s="128"/>
      <c r="Y24" s="128">
        <v>56</v>
      </c>
      <c r="Z24" s="128">
        <v>264</v>
      </c>
      <c r="AA24" s="128">
        <v>170</v>
      </c>
      <c r="AB24" s="128">
        <v>203</v>
      </c>
      <c r="AC24" s="128">
        <v>114</v>
      </c>
      <c r="AD24" s="128"/>
      <c r="AE24" s="128">
        <v>1</v>
      </c>
      <c r="AF24" s="128"/>
      <c r="AG24" s="128">
        <v>4</v>
      </c>
      <c r="AH24" s="128">
        <v>31</v>
      </c>
      <c r="AI24" s="128">
        <v>14</v>
      </c>
    </row>
    <row r="25" spans="2:35" ht="18" customHeight="1">
      <c r="B25" s="1"/>
      <c r="C25" s="1">
        <v>11</v>
      </c>
      <c r="D25" s="1"/>
      <c r="E25" s="127"/>
      <c r="F25" s="128">
        <v>-66</v>
      </c>
      <c r="G25" s="128"/>
      <c r="H25" s="128">
        <v>-45</v>
      </c>
      <c r="I25" s="128"/>
      <c r="J25" s="128">
        <v>-42</v>
      </c>
      <c r="K25" s="128"/>
      <c r="L25" s="128">
        <v>-27</v>
      </c>
      <c r="M25" s="128"/>
      <c r="N25" s="128">
        <v>-48</v>
      </c>
      <c r="O25" s="128"/>
      <c r="P25" s="128">
        <v>-32</v>
      </c>
      <c r="Q25" s="128">
        <v>79</v>
      </c>
      <c r="R25" s="128">
        <v>44</v>
      </c>
      <c r="S25" s="128">
        <v>127</v>
      </c>
      <c r="T25" s="128">
        <v>76</v>
      </c>
      <c r="U25" s="128"/>
      <c r="V25" s="128"/>
      <c r="W25" s="128">
        <v>-1</v>
      </c>
      <c r="X25" s="128"/>
      <c r="Y25" s="128">
        <v>-8</v>
      </c>
      <c r="Z25" s="128">
        <v>243</v>
      </c>
      <c r="AA25" s="128">
        <v>128</v>
      </c>
      <c r="AB25" s="128">
        <v>244</v>
      </c>
      <c r="AC25" s="128">
        <v>136</v>
      </c>
      <c r="AD25" s="128"/>
      <c r="AE25" s="128">
        <v>-24</v>
      </c>
      <c r="AF25" s="128"/>
      <c r="AG25" s="128">
        <v>-18</v>
      </c>
      <c r="AH25" s="128">
        <v>41</v>
      </c>
      <c r="AI25" s="128">
        <v>19</v>
      </c>
    </row>
    <row r="26" spans="2:35" ht="18" customHeight="1" thickBot="1">
      <c r="B26" s="6"/>
      <c r="C26" s="6">
        <v>12</v>
      </c>
      <c r="D26" s="6"/>
      <c r="E26" s="130"/>
      <c r="F26" s="213">
        <v>-171</v>
      </c>
      <c r="G26" s="213"/>
      <c r="H26" s="213">
        <v>-97</v>
      </c>
      <c r="I26" s="213"/>
      <c r="J26" s="213">
        <v>-183</v>
      </c>
      <c r="K26" s="213"/>
      <c r="L26" s="213">
        <v>-94</v>
      </c>
      <c r="M26" s="213"/>
      <c r="N26" s="213">
        <v>-51</v>
      </c>
      <c r="O26" s="213"/>
      <c r="P26" s="213">
        <v>-18</v>
      </c>
      <c r="Q26" s="213">
        <v>66</v>
      </c>
      <c r="R26" s="213">
        <v>38</v>
      </c>
      <c r="S26" s="213">
        <v>117</v>
      </c>
      <c r="T26" s="213">
        <v>56</v>
      </c>
      <c r="U26" s="213"/>
      <c r="V26" s="213"/>
      <c r="W26" s="213">
        <v>-116</v>
      </c>
      <c r="X26" s="213"/>
      <c r="Y26" s="213">
        <v>-76</v>
      </c>
      <c r="Z26" s="213">
        <v>281</v>
      </c>
      <c r="AA26" s="213">
        <v>174</v>
      </c>
      <c r="AB26" s="213">
        <v>397</v>
      </c>
      <c r="AC26" s="213">
        <v>250</v>
      </c>
      <c r="AD26" s="213"/>
      <c r="AE26" s="213">
        <v>12</v>
      </c>
      <c r="AF26" s="213"/>
      <c r="AG26" s="213">
        <v>-3</v>
      </c>
      <c r="AH26" s="213">
        <v>37</v>
      </c>
      <c r="AI26" s="213">
        <v>15</v>
      </c>
    </row>
    <row r="27" spans="2:35" ht="18" customHeight="1">
      <c r="B27" s="42"/>
      <c r="C27" s="2" t="s">
        <v>589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31" spans="2:35" ht="13.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106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</sheetData>
  <mergeCells count="24">
    <mergeCell ref="Q2:V2"/>
    <mergeCell ref="I4:L4"/>
    <mergeCell ref="S5:T5"/>
    <mergeCell ref="AD4:AG4"/>
    <mergeCell ref="Z5:AA5"/>
    <mergeCell ref="AB5:AC5"/>
    <mergeCell ref="M4:T4"/>
    <mergeCell ref="V4:AC4"/>
    <mergeCell ref="K7:L7"/>
    <mergeCell ref="E6:F6"/>
    <mergeCell ref="M5:P5"/>
    <mergeCell ref="O7:P7"/>
    <mergeCell ref="B5:C5"/>
    <mergeCell ref="B6:C6"/>
    <mergeCell ref="E4:H4"/>
    <mergeCell ref="V5:Y5"/>
    <mergeCell ref="Q5:R5"/>
    <mergeCell ref="AD6:AE6"/>
    <mergeCell ref="AF7:AG7"/>
    <mergeCell ref="V6:W6"/>
    <mergeCell ref="X7:Y7"/>
    <mergeCell ref="M6:N6"/>
    <mergeCell ref="G7:H7"/>
    <mergeCell ref="I6:J6"/>
  </mergeCells>
  <phoneticPr fontId="2"/>
  <dataValidations count="2">
    <dataValidation type="whole" allowBlank="1" showInputMessage="1" showErrorMessage="1" sqref="AF15">
      <formula1>1</formula1>
      <formula2>9.99999999999999E+21</formula2>
    </dataValidation>
    <dataValidation imeMode="off" allowBlank="1" showInputMessage="1" showErrorMessage="1" sqref="AE15:AE21"/>
  </dataValidations>
  <pageMargins left="0.78740157480314965" right="0.78740157480314965" top="0.78740157480314965" bottom="0.59055118110236227" header="0.59055118110236227" footer="0.59055118110236227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B1:N21"/>
  <sheetViews>
    <sheetView showGridLines="0" view="pageBreakPreview" zoomScale="120" zoomScaleNormal="100" zoomScaleSheetLayoutView="120" workbookViewId="0"/>
  </sheetViews>
  <sheetFormatPr defaultRowHeight="12.75"/>
  <cols>
    <col min="1" max="1" width="4.625" style="2" customWidth="1"/>
    <col min="2" max="2" width="1.625" style="2" customWidth="1"/>
    <col min="3" max="3" width="2.125" style="2" customWidth="1"/>
    <col min="4" max="4" width="12.25" style="2" bestFit="1" customWidth="1"/>
    <col min="5" max="5" width="1.625" style="2" customWidth="1"/>
    <col min="6" max="6" width="11.625" style="2" customWidth="1"/>
    <col min="7" max="7" width="9.625" style="2" customWidth="1"/>
    <col min="8" max="9" width="8.125" style="2" customWidth="1"/>
    <col min="10" max="10" width="9.625" style="2" customWidth="1"/>
    <col min="11" max="11" width="9.375" style="2" customWidth="1"/>
    <col min="12" max="12" width="9.125" style="2" customWidth="1"/>
    <col min="13" max="13" width="3" style="2" customWidth="1"/>
    <col min="14" max="14" width="6.375" style="2" customWidth="1"/>
    <col min="15" max="16384" width="9" style="2"/>
  </cols>
  <sheetData>
    <row r="1" spans="2:14" ht="13.5" customHeight="1"/>
    <row r="2" spans="2:14" ht="18" customHeight="1">
      <c r="F2" s="214" t="s">
        <v>561</v>
      </c>
      <c r="G2" s="300" t="s">
        <v>491</v>
      </c>
      <c r="H2" s="311"/>
      <c r="I2" s="311"/>
      <c r="J2" s="311"/>
    </row>
    <row r="3" spans="2:14" ht="13.5" thickBot="1">
      <c r="G3" s="6"/>
      <c r="H3" s="6"/>
      <c r="I3" s="6"/>
      <c r="J3" s="6"/>
      <c r="K3" s="6"/>
      <c r="L3" s="45" t="s">
        <v>588</v>
      </c>
    </row>
    <row r="4" spans="2:14" ht="15.95" customHeight="1">
      <c r="B4" s="15"/>
      <c r="C4" s="295" t="s">
        <v>498</v>
      </c>
      <c r="D4" s="295"/>
      <c r="E4" s="312"/>
      <c r="F4" s="215" t="s">
        <v>489</v>
      </c>
      <c r="G4" s="315" t="s">
        <v>496</v>
      </c>
      <c r="H4" s="317"/>
      <c r="I4" s="318"/>
      <c r="J4" s="315" t="s">
        <v>497</v>
      </c>
      <c r="K4" s="316"/>
      <c r="L4" s="316"/>
      <c r="M4" s="216"/>
      <c r="N4" s="217"/>
    </row>
    <row r="5" spans="2:14" ht="14.1" customHeight="1">
      <c r="B5" s="1"/>
      <c r="C5" s="313"/>
      <c r="D5" s="296"/>
      <c r="E5" s="314"/>
      <c r="F5" s="78" t="s">
        <v>492</v>
      </c>
      <c r="G5" s="69" t="s">
        <v>8</v>
      </c>
      <c r="H5" s="70" t="s">
        <v>6</v>
      </c>
      <c r="I5" s="71" t="s">
        <v>7</v>
      </c>
      <c r="J5" s="69" t="s">
        <v>8</v>
      </c>
      <c r="K5" s="70" t="s">
        <v>6</v>
      </c>
      <c r="L5" s="68" t="s">
        <v>7</v>
      </c>
      <c r="M5" s="14"/>
      <c r="N5" s="218"/>
    </row>
    <row r="6" spans="2:14" ht="15.75" customHeight="1">
      <c r="B6" s="219"/>
      <c r="C6" s="219" t="s">
        <v>499</v>
      </c>
      <c r="D6" s="1"/>
      <c r="E6" s="7"/>
      <c r="F6" s="136">
        <f>G6-J6</f>
        <v>-10294</v>
      </c>
      <c r="G6" s="72">
        <f>SUM(H6:I6)</f>
        <v>8822</v>
      </c>
      <c r="H6" s="73">
        <v>4496</v>
      </c>
      <c r="I6" s="73">
        <v>4326</v>
      </c>
      <c r="J6" s="74">
        <f>SUM(K6:L6)</f>
        <v>19116</v>
      </c>
      <c r="K6" s="73">
        <v>9304</v>
      </c>
      <c r="L6" s="36">
        <v>9812</v>
      </c>
      <c r="N6" s="135"/>
    </row>
    <row r="7" spans="2:14" s="222" customFormat="1" ht="15" customHeight="1">
      <c r="B7" s="220"/>
      <c r="C7" s="220" t="s">
        <v>490</v>
      </c>
      <c r="D7" s="220"/>
      <c r="E7" s="221"/>
      <c r="F7" s="137">
        <f>G7-J7</f>
        <v>-9455</v>
      </c>
      <c r="G7" s="75">
        <f>SUM(G8:G20)</f>
        <v>8557</v>
      </c>
      <c r="H7" s="75">
        <v>4355</v>
      </c>
      <c r="I7" s="75">
        <v>4202</v>
      </c>
      <c r="J7" s="74">
        <f>SUM(K7:L7)</f>
        <v>18012</v>
      </c>
      <c r="K7" s="73">
        <v>8795</v>
      </c>
      <c r="L7" s="36">
        <v>9217</v>
      </c>
      <c r="N7" s="223"/>
    </row>
    <row r="8" spans="2:14">
      <c r="B8" s="1"/>
      <c r="C8" s="1"/>
      <c r="D8" s="151" t="s">
        <v>500</v>
      </c>
      <c r="E8" s="224"/>
      <c r="F8" s="138">
        <f t="shared" ref="F8:F19" si="0">G8-J8</f>
        <v>-602</v>
      </c>
      <c r="G8" s="76">
        <f>SUM(H8:I8)</f>
        <v>872</v>
      </c>
      <c r="H8" s="225">
        <v>449</v>
      </c>
      <c r="I8" s="162">
        <v>423</v>
      </c>
      <c r="J8" s="120">
        <f>SUM(K8:L8)</f>
        <v>1474</v>
      </c>
      <c r="K8" s="225">
        <v>736</v>
      </c>
      <c r="L8" s="162">
        <v>738</v>
      </c>
      <c r="N8" s="135"/>
    </row>
    <row r="9" spans="2:14">
      <c r="B9" s="1"/>
      <c r="C9" s="1"/>
      <c r="D9" s="3" t="s">
        <v>501</v>
      </c>
      <c r="E9" s="7"/>
      <c r="F9" s="139">
        <f t="shared" si="0"/>
        <v>-2109</v>
      </c>
      <c r="G9" s="72">
        <f>SUM(H9:I9)</f>
        <v>1627</v>
      </c>
      <c r="H9" s="73">
        <v>842</v>
      </c>
      <c r="I9" s="36">
        <v>785</v>
      </c>
      <c r="J9" s="120">
        <f t="shared" ref="J9:J20" si="1">SUM(K9:L9)</f>
        <v>3736</v>
      </c>
      <c r="K9" s="73">
        <v>1827</v>
      </c>
      <c r="L9" s="36">
        <v>1909</v>
      </c>
      <c r="N9" s="135"/>
    </row>
    <row r="10" spans="2:14">
      <c r="B10" s="1"/>
      <c r="C10" s="1"/>
      <c r="D10" s="3" t="s">
        <v>0</v>
      </c>
      <c r="E10" s="7"/>
      <c r="F10" s="139">
        <f t="shared" si="0"/>
        <v>-1011</v>
      </c>
      <c r="G10" s="72">
        <f t="shared" ref="G10:G19" si="2">SUM(H10:I10)</f>
        <v>1092</v>
      </c>
      <c r="H10" s="73">
        <v>556</v>
      </c>
      <c r="I10" s="36">
        <v>536</v>
      </c>
      <c r="J10" s="120">
        <f t="shared" si="1"/>
        <v>2103</v>
      </c>
      <c r="K10" s="73">
        <v>989</v>
      </c>
      <c r="L10" s="36">
        <v>1114</v>
      </c>
      <c r="N10" s="135"/>
    </row>
    <row r="11" spans="2:14">
      <c r="B11" s="1"/>
      <c r="C11" s="1"/>
      <c r="D11" s="3" t="s">
        <v>502</v>
      </c>
      <c r="E11" s="7"/>
      <c r="F11" s="139">
        <f t="shared" si="0"/>
        <v>-766</v>
      </c>
      <c r="G11" s="72">
        <f t="shared" si="2"/>
        <v>1416</v>
      </c>
      <c r="H11" s="73">
        <v>714</v>
      </c>
      <c r="I11" s="36">
        <v>702</v>
      </c>
      <c r="J11" s="120">
        <f t="shared" si="1"/>
        <v>2182</v>
      </c>
      <c r="K11" s="73">
        <v>1092</v>
      </c>
      <c r="L11" s="36">
        <v>1090</v>
      </c>
      <c r="N11" s="135"/>
    </row>
    <row r="12" spans="2:14">
      <c r="B12" s="1"/>
      <c r="C12" s="1"/>
      <c r="D12" s="3" t="s">
        <v>1</v>
      </c>
      <c r="E12" s="7"/>
      <c r="F12" s="139">
        <f t="shared" si="0"/>
        <v>-784</v>
      </c>
      <c r="G12" s="72">
        <f t="shared" si="2"/>
        <v>170</v>
      </c>
      <c r="H12" s="73">
        <v>92</v>
      </c>
      <c r="I12" s="36">
        <v>78</v>
      </c>
      <c r="J12" s="120">
        <f t="shared" si="1"/>
        <v>954</v>
      </c>
      <c r="K12" s="73">
        <v>449</v>
      </c>
      <c r="L12" s="36">
        <v>505</v>
      </c>
      <c r="N12" s="135"/>
    </row>
    <row r="13" spans="2:14">
      <c r="B13" s="1"/>
      <c r="C13" s="1"/>
      <c r="D13" s="3" t="s">
        <v>2</v>
      </c>
      <c r="E13" s="7"/>
      <c r="F13" s="139">
        <f t="shared" si="0"/>
        <v>-146</v>
      </c>
      <c r="G13" s="72">
        <f t="shared" si="2"/>
        <v>522</v>
      </c>
      <c r="H13" s="73">
        <v>251</v>
      </c>
      <c r="I13" s="36">
        <v>271</v>
      </c>
      <c r="J13" s="120">
        <f t="shared" si="1"/>
        <v>668</v>
      </c>
      <c r="K13" s="73">
        <v>309</v>
      </c>
      <c r="L13" s="36">
        <v>359</v>
      </c>
      <c r="N13" s="135"/>
    </row>
    <row r="14" spans="2:14">
      <c r="B14" s="1"/>
      <c r="C14" s="1"/>
      <c r="D14" s="3" t="s">
        <v>503</v>
      </c>
      <c r="E14" s="7"/>
      <c r="F14" s="139">
        <f t="shared" si="0"/>
        <v>-1101</v>
      </c>
      <c r="G14" s="72">
        <f>SUM(H14:I14)</f>
        <v>868</v>
      </c>
      <c r="H14" s="73">
        <v>442</v>
      </c>
      <c r="I14" s="36">
        <v>426</v>
      </c>
      <c r="J14" s="120">
        <f t="shared" si="1"/>
        <v>1969</v>
      </c>
      <c r="K14" s="73">
        <v>970</v>
      </c>
      <c r="L14" s="36">
        <v>999</v>
      </c>
      <c r="N14" s="135"/>
    </row>
    <row r="15" spans="2:14">
      <c r="B15" s="1"/>
      <c r="C15" s="1"/>
      <c r="D15" s="3" t="s">
        <v>504</v>
      </c>
      <c r="E15" s="7"/>
      <c r="F15" s="139">
        <f t="shared" si="0"/>
        <v>-338</v>
      </c>
      <c r="G15" s="72">
        <f t="shared" si="2"/>
        <v>311</v>
      </c>
      <c r="H15" s="73">
        <v>159</v>
      </c>
      <c r="I15" s="36">
        <v>152</v>
      </c>
      <c r="J15" s="120">
        <f t="shared" si="1"/>
        <v>649</v>
      </c>
      <c r="K15" s="73">
        <v>354</v>
      </c>
      <c r="L15" s="36">
        <v>295</v>
      </c>
      <c r="N15" s="135"/>
    </row>
    <row r="16" spans="2:14">
      <c r="B16" s="1"/>
      <c r="C16" s="1"/>
      <c r="D16" s="3" t="s">
        <v>505</v>
      </c>
      <c r="E16" s="7"/>
      <c r="F16" s="139">
        <f t="shared" si="0"/>
        <v>-459</v>
      </c>
      <c r="G16" s="72">
        <f t="shared" si="2"/>
        <v>133</v>
      </c>
      <c r="H16" s="73">
        <v>69</v>
      </c>
      <c r="I16" s="36">
        <v>64</v>
      </c>
      <c r="J16" s="120">
        <f t="shared" si="1"/>
        <v>592</v>
      </c>
      <c r="K16" s="73">
        <v>292</v>
      </c>
      <c r="L16" s="36">
        <v>300</v>
      </c>
      <c r="N16" s="135"/>
    </row>
    <row r="17" spans="2:14">
      <c r="B17" s="1"/>
      <c r="C17" s="1"/>
      <c r="D17" s="3" t="s">
        <v>3</v>
      </c>
      <c r="E17" s="7"/>
      <c r="F17" s="139">
        <f t="shared" si="0"/>
        <v>-364</v>
      </c>
      <c r="G17" s="72">
        <f t="shared" si="2"/>
        <v>153</v>
      </c>
      <c r="H17" s="73">
        <v>80</v>
      </c>
      <c r="I17" s="36">
        <v>73</v>
      </c>
      <c r="J17" s="120">
        <f t="shared" si="1"/>
        <v>517</v>
      </c>
      <c r="K17" s="73">
        <v>246</v>
      </c>
      <c r="L17" s="36">
        <v>271</v>
      </c>
      <c r="N17" s="135"/>
    </row>
    <row r="18" spans="2:14">
      <c r="B18" s="1"/>
      <c r="C18" s="1"/>
      <c r="D18" s="3" t="s">
        <v>510</v>
      </c>
      <c r="E18" s="7"/>
      <c r="F18" s="139">
        <f t="shared" si="0"/>
        <v>-392</v>
      </c>
      <c r="G18" s="72">
        <f t="shared" si="2"/>
        <v>73</v>
      </c>
      <c r="H18" s="73">
        <v>43</v>
      </c>
      <c r="I18" s="36">
        <v>30</v>
      </c>
      <c r="J18" s="120">
        <f t="shared" si="1"/>
        <v>465</v>
      </c>
      <c r="K18" s="73">
        <v>221</v>
      </c>
      <c r="L18" s="36">
        <v>244</v>
      </c>
      <c r="N18" s="135"/>
    </row>
    <row r="19" spans="2:14">
      <c r="B19" s="1"/>
      <c r="C19" s="1"/>
      <c r="D19" s="3" t="s">
        <v>511</v>
      </c>
      <c r="E19" s="7"/>
      <c r="F19" s="139">
        <f t="shared" si="0"/>
        <v>-843</v>
      </c>
      <c r="G19" s="72">
        <f t="shared" si="2"/>
        <v>957</v>
      </c>
      <c r="H19" s="73">
        <v>473</v>
      </c>
      <c r="I19" s="36">
        <v>484</v>
      </c>
      <c r="J19" s="120">
        <f t="shared" si="1"/>
        <v>1800</v>
      </c>
      <c r="K19" s="73">
        <v>878</v>
      </c>
      <c r="L19" s="36">
        <v>922</v>
      </c>
      <c r="N19" s="135"/>
    </row>
    <row r="20" spans="2:14" ht="13.5" thickBot="1">
      <c r="B20" s="6"/>
      <c r="C20" s="6"/>
      <c r="D20" s="169" t="s">
        <v>512</v>
      </c>
      <c r="E20" s="163"/>
      <c r="F20" s="140">
        <f>G20-J20</f>
        <v>-540</v>
      </c>
      <c r="G20" s="72">
        <f>SUM(H20:I20)</f>
        <v>363</v>
      </c>
      <c r="H20" s="73">
        <v>185</v>
      </c>
      <c r="I20" s="226">
        <v>178</v>
      </c>
      <c r="J20" s="141">
        <f t="shared" si="1"/>
        <v>903</v>
      </c>
      <c r="K20" s="226">
        <v>432</v>
      </c>
      <c r="L20" s="226">
        <v>471</v>
      </c>
      <c r="N20" s="135"/>
    </row>
    <row r="21" spans="2:14" ht="18" customHeight="1">
      <c r="C21" s="227" t="s">
        <v>587</v>
      </c>
      <c r="E21" s="227"/>
      <c r="G21" s="228"/>
      <c r="H21" s="228"/>
    </row>
  </sheetData>
  <mergeCells count="4">
    <mergeCell ref="G2:J2"/>
    <mergeCell ref="C4:E5"/>
    <mergeCell ref="J4:L4"/>
    <mergeCell ref="G4:I4"/>
  </mergeCells>
  <phoneticPr fontId="2"/>
  <pageMargins left="2.34" right="0.78740157480314965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</sheetPr>
  <dimension ref="A1:P21"/>
  <sheetViews>
    <sheetView showGridLines="0" view="pageBreakPreview" zoomScale="120" zoomScaleNormal="100" zoomScaleSheetLayoutView="120" workbookViewId="0"/>
  </sheetViews>
  <sheetFormatPr defaultRowHeight="12.75"/>
  <cols>
    <col min="1" max="1" width="4.625" style="2" customWidth="1"/>
    <col min="2" max="2" width="1.125" style="2" customWidth="1"/>
    <col min="3" max="3" width="1.625" style="2" customWidth="1"/>
    <col min="4" max="4" width="12.25" style="2" bestFit="1" customWidth="1"/>
    <col min="5" max="5" width="1.125" style="2" customWidth="1"/>
    <col min="6" max="6" width="9.5" style="2" bestFit="1" customWidth="1"/>
    <col min="7" max="7" width="8.625" style="2" bestFit="1" customWidth="1"/>
    <col min="8" max="9" width="7.875" style="2" bestFit="1" customWidth="1"/>
    <col min="10" max="10" width="6.875" style="2" bestFit="1" customWidth="1"/>
    <col min="11" max="11" width="8.625" style="2" bestFit="1" customWidth="1"/>
    <col min="12" max="12" width="9.375" style="2" bestFit="1" customWidth="1"/>
    <col min="13" max="14" width="8.5" style="2" bestFit="1" customWidth="1"/>
    <col min="15" max="15" width="3" style="2" customWidth="1"/>
    <col min="16" max="16" width="6.375" style="2" customWidth="1"/>
    <col min="17" max="16384" width="9" style="2"/>
  </cols>
  <sheetData>
    <row r="1" spans="1:16" ht="13.5" customHeight="1"/>
    <row r="2" spans="1:16" ht="13.5">
      <c r="F2" s="214" t="s">
        <v>562</v>
      </c>
      <c r="G2" s="300" t="s">
        <v>494</v>
      </c>
      <c r="H2" s="300"/>
      <c r="I2" s="300"/>
      <c r="J2" s="300"/>
      <c r="K2" s="311"/>
    </row>
    <row r="3" spans="1:16" ht="13.5" thickBot="1">
      <c r="N3" s="45" t="s">
        <v>588</v>
      </c>
    </row>
    <row r="4" spans="1:16" ht="15.75" customHeight="1">
      <c r="B4" s="15"/>
      <c r="C4" s="295" t="s">
        <v>498</v>
      </c>
      <c r="D4" s="295"/>
      <c r="E4" s="312"/>
      <c r="F4" s="77" t="s">
        <v>493</v>
      </c>
      <c r="G4" s="319" t="s">
        <v>506</v>
      </c>
      <c r="H4" s="320"/>
      <c r="I4" s="320"/>
      <c r="J4" s="321"/>
      <c r="K4" s="319" t="s">
        <v>507</v>
      </c>
      <c r="L4" s="320"/>
      <c r="M4" s="320"/>
      <c r="N4" s="320"/>
      <c r="O4" s="217"/>
      <c r="P4" s="217"/>
    </row>
    <row r="5" spans="1:16" ht="13.5" customHeight="1">
      <c r="B5" s="1"/>
      <c r="C5" s="313"/>
      <c r="D5" s="296"/>
      <c r="E5" s="314"/>
      <c r="F5" s="78" t="s">
        <v>492</v>
      </c>
      <c r="G5" s="69" t="s">
        <v>8</v>
      </c>
      <c r="H5" s="79" t="s">
        <v>508</v>
      </c>
      <c r="I5" s="70" t="s">
        <v>509</v>
      </c>
      <c r="J5" s="71" t="s">
        <v>495</v>
      </c>
      <c r="K5" s="69" t="s">
        <v>8</v>
      </c>
      <c r="L5" s="79" t="s">
        <v>508</v>
      </c>
      <c r="M5" s="70" t="s">
        <v>509</v>
      </c>
      <c r="N5" s="68" t="s">
        <v>495</v>
      </c>
      <c r="O5" s="14"/>
      <c r="P5" s="218"/>
    </row>
    <row r="6" spans="1:16" ht="15.75" customHeight="1">
      <c r="B6" s="219"/>
      <c r="C6" s="219" t="s">
        <v>499</v>
      </c>
      <c r="D6" s="1"/>
      <c r="E6" s="7"/>
      <c r="F6" s="80">
        <f>G6-K6</f>
        <v>-2886</v>
      </c>
      <c r="G6" s="72">
        <f>SUM(H6:J6)</f>
        <v>46640</v>
      </c>
      <c r="H6" s="4">
        <v>27734</v>
      </c>
      <c r="I6" s="229">
        <v>18654</v>
      </c>
      <c r="J6" s="4">
        <v>252</v>
      </c>
      <c r="K6" s="72">
        <f>SUM(L6:N6)</f>
        <v>49526</v>
      </c>
      <c r="L6" s="4">
        <v>29803</v>
      </c>
      <c r="M6" s="229">
        <v>18633</v>
      </c>
      <c r="N6" s="4">
        <v>1090</v>
      </c>
      <c r="P6" s="135"/>
    </row>
    <row r="7" spans="1:16" ht="15" customHeight="1">
      <c r="A7" s="222"/>
      <c r="B7" s="220"/>
      <c r="C7" s="220" t="s">
        <v>490</v>
      </c>
      <c r="D7" s="220"/>
      <c r="E7" s="221"/>
      <c r="F7" s="81">
        <f t="shared" ref="F7:F20" si="0">G7-K7</f>
        <v>-2599</v>
      </c>
      <c r="G7" s="72">
        <f>SUM(G8:G20)</f>
        <v>44736</v>
      </c>
      <c r="H7" s="4">
        <v>26746</v>
      </c>
      <c r="I7" s="229">
        <v>17740</v>
      </c>
      <c r="J7" s="4">
        <v>250</v>
      </c>
      <c r="K7" s="72">
        <f>SUM(K8:K20)</f>
        <v>47335</v>
      </c>
      <c r="L7" s="4">
        <v>28780</v>
      </c>
      <c r="M7" s="229">
        <v>17482</v>
      </c>
      <c r="N7" s="4">
        <v>1073</v>
      </c>
      <c r="P7" s="135"/>
    </row>
    <row r="8" spans="1:16">
      <c r="B8" s="1"/>
      <c r="C8" s="1"/>
      <c r="D8" s="151" t="s">
        <v>500</v>
      </c>
      <c r="E8" s="224"/>
      <c r="F8" s="118">
        <f t="shared" si="0"/>
        <v>56</v>
      </c>
      <c r="G8" s="76">
        <f>SUM(H8:J8)</f>
        <v>5447</v>
      </c>
      <c r="H8" s="155">
        <v>3713</v>
      </c>
      <c r="I8" s="230">
        <v>1714</v>
      </c>
      <c r="J8" s="155">
        <v>20</v>
      </c>
      <c r="K8" s="76">
        <f>SUM(L8:N8)</f>
        <v>5391</v>
      </c>
      <c r="L8" s="155">
        <v>3705</v>
      </c>
      <c r="M8" s="230">
        <v>1437</v>
      </c>
      <c r="N8" s="155">
        <v>249</v>
      </c>
      <c r="P8" s="135"/>
    </row>
    <row r="9" spans="1:16">
      <c r="B9" s="1"/>
      <c r="C9" s="1"/>
      <c r="D9" s="3" t="s">
        <v>501</v>
      </c>
      <c r="E9" s="7"/>
      <c r="F9" s="81">
        <f t="shared" si="0"/>
        <v>-567</v>
      </c>
      <c r="G9" s="72">
        <f t="shared" ref="G9:G20" si="1">SUM(H9:J9)</f>
        <v>7287</v>
      </c>
      <c r="H9" s="4">
        <v>5412</v>
      </c>
      <c r="I9" s="229">
        <v>1830</v>
      </c>
      <c r="J9" s="4">
        <v>45</v>
      </c>
      <c r="K9" s="72">
        <f>SUM(L9:N9)</f>
        <v>7854</v>
      </c>
      <c r="L9" s="4">
        <v>5935</v>
      </c>
      <c r="M9" s="229">
        <v>1698</v>
      </c>
      <c r="N9" s="4">
        <v>221</v>
      </c>
      <c r="P9" s="135"/>
    </row>
    <row r="10" spans="1:16">
      <c r="B10" s="1"/>
      <c r="C10" s="1"/>
      <c r="D10" s="3" t="s">
        <v>0</v>
      </c>
      <c r="E10" s="7"/>
      <c r="F10" s="81">
        <f t="shared" si="0"/>
        <v>-131</v>
      </c>
      <c r="G10" s="72">
        <f t="shared" si="1"/>
        <v>4937</v>
      </c>
      <c r="H10" s="4">
        <v>2502</v>
      </c>
      <c r="I10" s="229">
        <v>2427</v>
      </c>
      <c r="J10" s="4">
        <v>8</v>
      </c>
      <c r="K10" s="72">
        <f t="shared" ref="K10:K20" si="2">SUM(L10:N10)</f>
        <v>5068</v>
      </c>
      <c r="L10" s="4">
        <v>2853</v>
      </c>
      <c r="M10" s="229">
        <v>2145</v>
      </c>
      <c r="N10" s="4">
        <v>70</v>
      </c>
      <c r="P10" s="135"/>
    </row>
    <row r="11" spans="1:16">
      <c r="B11" s="1"/>
      <c r="C11" s="1"/>
      <c r="D11" s="3" t="s">
        <v>502</v>
      </c>
      <c r="E11" s="7"/>
      <c r="F11" s="81">
        <f t="shared" si="0"/>
        <v>49</v>
      </c>
      <c r="G11" s="72">
        <f t="shared" si="1"/>
        <v>7992</v>
      </c>
      <c r="H11" s="4">
        <v>4770</v>
      </c>
      <c r="I11" s="229">
        <v>3185</v>
      </c>
      <c r="J11" s="4">
        <v>37</v>
      </c>
      <c r="K11" s="72">
        <f t="shared" si="2"/>
        <v>7943</v>
      </c>
      <c r="L11" s="4">
        <v>4911</v>
      </c>
      <c r="M11" s="229">
        <v>2896</v>
      </c>
      <c r="N11" s="4">
        <v>136</v>
      </c>
      <c r="P11" s="135"/>
    </row>
    <row r="12" spans="1:16">
      <c r="B12" s="1"/>
      <c r="C12" s="1"/>
      <c r="D12" s="3" t="s">
        <v>1</v>
      </c>
      <c r="E12" s="7"/>
      <c r="F12" s="81">
        <f t="shared" si="0"/>
        <v>-402</v>
      </c>
      <c r="G12" s="72">
        <f t="shared" si="1"/>
        <v>1192</v>
      </c>
      <c r="H12" s="4">
        <v>655</v>
      </c>
      <c r="I12" s="229">
        <v>531</v>
      </c>
      <c r="J12" s="4">
        <v>6</v>
      </c>
      <c r="K12" s="72">
        <f t="shared" si="2"/>
        <v>1594</v>
      </c>
      <c r="L12" s="4">
        <v>776</v>
      </c>
      <c r="M12" s="229">
        <v>797</v>
      </c>
      <c r="N12" s="4">
        <v>21</v>
      </c>
      <c r="P12" s="135"/>
    </row>
    <row r="13" spans="1:16">
      <c r="B13" s="1"/>
      <c r="C13" s="1"/>
      <c r="D13" s="3" t="s">
        <v>2</v>
      </c>
      <c r="E13" s="7"/>
      <c r="F13" s="81">
        <f t="shared" si="0"/>
        <v>371</v>
      </c>
      <c r="G13" s="72">
        <f t="shared" si="1"/>
        <v>2663</v>
      </c>
      <c r="H13" s="4">
        <v>1176</v>
      </c>
      <c r="I13" s="229">
        <v>1477</v>
      </c>
      <c r="J13" s="4">
        <v>10</v>
      </c>
      <c r="K13" s="72">
        <f t="shared" si="2"/>
        <v>2292</v>
      </c>
      <c r="L13" s="4">
        <v>1190</v>
      </c>
      <c r="M13" s="229">
        <v>1097</v>
      </c>
      <c r="N13" s="4">
        <v>5</v>
      </c>
      <c r="P13" s="135"/>
    </row>
    <row r="14" spans="1:16">
      <c r="B14" s="1"/>
      <c r="C14" s="1"/>
      <c r="D14" s="3" t="s">
        <v>503</v>
      </c>
      <c r="E14" s="7"/>
      <c r="F14" s="81">
        <f t="shared" si="0"/>
        <v>-613</v>
      </c>
      <c r="G14" s="72">
        <f t="shared" si="1"/>
        <v>4286</v>
      </c>
      <c r="H14" s="4">
        <v>3092</v>
      </c>
      <c r="I14" s="229">
        <v>1136</v>
      </c>
      <c r="J14" s="4">
        <v>58</v>
      </c>
      <c r="K14" s="72">
        <f t="shared" si="2"/>
        <v>4899</v>
      </c>
      <c r="L14" s="4">
        <v>3427</v>
      </c>
      <c r="M14" s="229">
        <v>1290</v>
      </c>
      <c r="N14" s="4">
        <v>182</v>
      </c>
      <c r="P14" s="135"/>
    </row>
    <row r="15" spans="1:16">
      <c r="B15" s="1"/>
      <c r="C15" s="1"/>
      <c r="D15" s="3" t="s">
        <v>504</v>
      </c>
      <c r="E15" s="7"/>
      <c r="F15" s="81">
        <f t="shared" si="0"/>
        <v>-94</v>
      </c>
      <c r="G15" s="72">
        <f t="shared" si="1"/>
        <v>1567</v>
      </c>
      <c r="H15" s="4">
        <v>665</v>
      </c>
      <c r="I15" s="229">
        <v>895</v>
      </c>
      <c r="J15" s="4">
        <v>7</v>
      </c>
      <c r="K15" s="72">
        <f t="shared" si="2"/>
        <v>1661</v>
      </c>
      <c r="L15" s="4">
        <v>742</v>
      </c>
      <c r="M15" s="229">
        <v>884</v>
      </c>
      <c r="N15" s="4">
        <v>35</v>
      </c>
      <c r="P15" s="135"/>
    </row>
    <row r="16" spans="1:16">
      <c r="B16" s="1"/>
      <c r="C16" s="1"/>
      <c r="D16" s="3" t="s">
        <v>505</v>
      </c>
      <c r="E16" s="7"/>
      <c r="F16" s="81">
        <f t="shared" si="0"/>
        <v>-246</v>
      </c>
      <c r="G16" s="72">
        <f t="shared" si="1"/>
        <v>901</v>
      </c>
      <c r="H16" s="4">
        <v>502</v>
      </c>
      <c r="I16" s="229">
        <v>384</v>
      </c>
      <c r="J16" s="4">
        <v>15</v>
      </c>
      <c r="K16" s="72">
        <f t="shared" si="2"/>
        <v>1147</v>
      </c>
      <c r="L16" s="4">
        <v>599</v>
      </c>
      <c r="M16" s="229">
        <v>530</v>
      </c>
      <c r="N16" s="4">
        <v>18</v>
      </c>
      <c r="P16" s="135"/>
    </row>
    <row r="17" spans="2:16">
      <c r="B17" s="1"/>
      <c r="C17" s="1"/>
      <c r="D17" s="3" t="s">
        <v>3</v>
      </c>
      <c r="E17" s="7"/>
      <c r="F17" s="81">
        <f t="shared" si="0"/>
        <v>-32</v>
      </c>
      <c r="G17" s="72">
        <f t="shared" si="1"/>
        <v>1102</v>
      </c>
      <c r="H17" s="4">
        <v>421</v>
      </c>
      <c r="I17" s="229">
        <v>673</v>
      </c>
      <c r="J17" s="4">
        <v>8</v>
      </c>
      <c r="K17" s="72">
        <f t="shared" si="2"/>
        <v>1134</v>
      </c>
      <c r="L17" s="4">
        <v>500</v>
      </c>
      <c r="M17" s="229">
        <v>629</v>
      </c>
      <c r="N17" s="4">
        <v>5</v>
      </c>
      <c r="P17" s="135"/>
    </row>
    <row r="18" spans="2:16">
      <c r="B18" s="1"/>
      <c r="C18" s="1"/>
      <c r="D18" s="3" t="s">
        <v>510</v>
      </c>
      <c r="E18" s="7"/>
      <c r="F18" s="81">
        <f t="shared" si="0"/>
        <v>-248</v>
      </c>
      <c r="G18" s="72">
        <f t="shared" si="1"/>
        <v>638</v>
      </c>
      <c r="H18" s="4">
        <v>287</v>
      </c>
      <c r="I18" s="229">
        <v>344</v>
      </c>
      <c r="J18" s="4">
        <v>7</v>
      </c>
      <c r="K18" s="72">
        <f t="shared" si="2"/>
        <v>886</v>
      </c>
      <c r="L18" s="4">
        <v>317</v>
      </c>
      <c r="M18" s="229">
        <v>552</v>
      </c>
      <c r="N18" s="4">
        <v>17</v>
      </c>
      <c r="P18" s="135"/>
    </row>
    <row r="19" spans="2:16">
      <c r="B19" s="1"/>
      <c r="C19" s="1"/>
      <c r="D19" s="3" t="s">
        <v>511</v>
      </c>
      <c r="E19" s="7"/>
      <c r="F19" s="81">
        <f t="shared" si="0"/>
        <v>-502</v>
      </c>
      <c r="G19" s="72">
        <f t="shared" si="1"/>
        <v>4498</v>
      </c>
      <c r="H19" s="4">
        <v>2437</v>
      </c>
      <c r="I19" s="229">
        <v>2039</v>
      </c>
      <c r="J19" s="4">
        <v>22</v>
      </c>
      <c r="K19" s="72">
        <f t="shared" si="2"/>
        <v>5000</v>
      </c>
      <c r="L19" s="4">
        <v>2763</v>
      </c>
      <c r="M19" s="229">
        <v>2204</v>
      </c>
      <c r="N19" s="4">
        <v>33</v>
      </c>
      <c r="P19" s="135"/>
    </row>
    <row r="20" spans="2:16" ht="13.5" thickBot="1">
      <c r="B20" s="6"/>
      <c r="C20" s="6"/>
      <c r="D20" s="169" t="s">
        <v>512</v>
      </c>
      <c r="E20" s="163"/>
      <c r="F20" s="82">
        <f t="shared" si="0"/>
        <v>-240</v>
      </c>
      <c r="G20" s="72">
        <f t="shared" si="1"/>
        <v>2226</v>
      </c>
      <c r="H20" s="231">
        <v>1114</v>
      </c>
      <c r="I20" s="231">
        <v>1105</v>
      </c>
      <c r="J20" s="231">
        <v>7</v>
      </c>
      <c r="K20" s="83">
        <f t="shared" si="2"/>
        <v>2466</v>
      </c>
      <c r="L20" s="231">
        <v>1062</v>
      </c>
      <c r="M20" s="231">
        <v>1323</v>
      </c>
      <c r="N20" s="231">
        <v>81</v>
      </c>
      <c r="P20" s="135"/>
    </row>
    <row r="21" spans="2:16" ht="18" customHeight="1">
      <c r="C21" s="227" t="s">
        <v>472</v>
      </c>
      <c r="E21" s="227"/>
      <c r="F21" s="227"/>
      <c r="G21" s="228"/>
      <c r="H21" s="228"/>
      <c r="I21" s="228"/>
    </row>
  </sheetData>
  <mergeCells count="4">
    <mergeCell ref="C4:E5"/>
    <mergeCell ref="G2:K2"/>
    <mergeCell ref="K4:N4"/>
    <mergeCell ref="G4:J4"/>
  </mergeCells>
  <phoneticPr fontId="2"/>
  <pageMargins left="0.75" right="0.75" top="1" bottom="1" header="0.51200000000000001" footer="0.51200000000000001"/>
  <pageSetup paperSize="9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pageSetUpPr fitToPage="1"/>
  </sheetPr>
  <dimension ref="A1:M69"/>
  <sheetViews>
    <sheetView showGridLines="0" view="pageBreakPreview" zoomScale="85" zoomScaleNormal="100" zoomScaleSheetLayoutView="85" workbookViewId="0"/>
  </sheetViews>
  <sheetFormatPr defaultRowHeight="13.5"/>
  <cols>
    <col min="1" max="1" width="5" style="42" customWidth="1"/>
    <col min="2" max="2" width="2" style="42" customWidth="1"/>
    <col min="3" max="3" width="13.375" style="42" customWidth="1"/>
    <col min="4" max="4" width="1.875" style="42" customWidth="1"/>
    <col min="5" max="9" width="9.375" style="42" bestFit="1" customWidth="1"/>
    <col min="10" max="10" width="9.5" style="42" bestFit="1" customWidth="1"/>
    <col min="11" max="11" width="9.5" style="42" customWidth="1"/>
    <col min="12" max="12" width="1.75" style="42" customWidth="1"/>
    <col min="13" max="16384" width="9" style="42"/>
  </cols>
  <sheetData>
    <row r="1" spans="1:13">
      <c r="A1" s="2"/>
      <c r="B1" s="2"/>
      <c r="C1" s="232"/>
      <c r="D1" s="232"/>
      <c r="E1" s="2"/>
      <c r="F1" s="2"/>
      <c r="G1" s="2"/>
      <c r="H1" s="2"/>
      <c r="I1" s="2"/>
      <c r="J1" s="2"/>
      <c r="K1" s="2"/>
      <c r="L1" s="2"/>
      <c r="M1" s="2"/>
    </row>
    <row r="2" spans="1:13" ht="13.5" customHeight="1">
      <c r="A2" s="2"/>
      <c r="B2" s="2"/>
      <c r="C2" s="233"/>
      <c r="D2" s="232"/>
      <c r="E2" s="234" t="s">
        <v>563</v>
      </c>
      <c r="F2" s="300" t="s">
        <v>546</v>
      </c>
      <c r="G2" s="300"/>
      <c r="H2" s="300"/>
      <c r="I2" s="300"/>
      <c r="J2" s="2"/>
      <c r="K2" s="2"/>
      <c r="L2" s="2"/>
      <c r="M2" s="2"/>
    </row>
    <row r="3" spans="1:13" ht="14.25" thickBot="1">
      <c r="A3" s="2"/>
      <c r="B3" s="2"/>
      <c r="C3" s="232"/>
      <c r="D3" s="232"/>
      <c r="E3" s="2"/>
      <c r="F3" s="2"/>
      <c r="G3" s="2"/>
      <c r="H3" s="2"/>
      <c r="I3" s="322" t="s">
        <v>27</v>
      </c>
      <c r="J3" s="322"/>
      <c r="K3" s="322"/>
      <c r="L3" s="322"/>
      <c r="M3" s="2"/>
    </row>
    <row r="4" spans="1:13" ht="30" customHeight="1">
      <c r="A4" s="2"/>
      <c r="B4" s="294" t="s">
        <v>448</v>
      </c>
      <c r="C4" s="323"/>
      <c r="D4" s="323"/>
      <c r="E4" s="235" t="s">
        <v>541</v>
      </c>
      <c r="F4" s="235" t="s">
        <v>547</v>
      </c>
      <c r="G4" s="98" t="s">
        <v>548</v>
      </c>
      <c r="H4" s="98" t="s">
        <v>555</v>
      </c>
      <c r="I4" s="98" t="s">
        <v>567</v>
      </c>
      <c r="J4" s="98" t="s">
        <v>572</v>
      </c>
      <c r="K4" s="132" t="s">
        <v>584</v>
      </c>
      <c r="L4" s="133"/>
      <c r="M4" s="2"/>
    </row>
    <row r="5" spans="1:13" s="240" customFormat="1" ht="20.100000000000001" customHeight="1">
      <c r="A5" s="168"/>
      <c r="B5" s="171" t="s">
        <v>516</v>
      </c>
      <c r="C5" s="236"/>
      <c r="D5" s="237" t="s">
        <v>517</v>
      </c>
      <c r="E5" s="113">
        <v>800</v>
      </c>
      <c r="F5" s="113">
        <v>860</v>
      </c>
      <c r="G5" s="113">
        <v>937</v>
      </c>
      <c r="H5" s="113">
        <v>1054</v>
      </c>
      <c r="I5" s="113">
        <v>1308</v>
      </c>
      <c r="J5" s="113">
        <v>1513</v>
      </c>
      <c r="K5" s="238">
        <v>1322</v>
      </c>
      <c r="L5" s="239"/>
      <c r="M5" s="168"/>
    </row>
    <row r="6" spans="1:13" ht="9.9499999999999993" customHeight="1">
      <c r="A6" s="2"/>
      <c r="B6" s="1"/>
      <c r="C6" s="3"/>
      <c r="D6" s="13"/>
      <c r="E6" s="108"/>
      <c r="F6" s="108"/>
      <c r="G6" s="108"/>
      <c r="H6" s="109"/>
      <c r="I6" s="108"/>
      <c r="J6" s="109"/>
      <c r="K6" s="108"/>
      <c r="L6" s="241"/>
      <c r="M6" s="2"/>
    </row>
    <row r="7" spans="1:13" ht="14.1" customHeight="1">
      <c r="A7" s="2"/>
      <c r="B7" s="1"/>
      <c r="C7" s="3" t="s">
        <v>449</v>
      </c>
      <c r="D7" s="13"/>
      <c r="E7" s="109">
        <v>203</v>
      </c>
      <c r="F7" s="109">
        <v>178</v>
      </c>
      <c r="G7" s="109">
        <v>168</v>
      </c>
      <c r="H7" s="109">
        <v>168</v>
      </c>
      <c r="I7" s="109">
        <v>169</v>
      </c>
      <c r="J7" s="109">
        <v>167</v>
      </c>
      <c r="K7" s="109">
        <v>147</v>
      </c>
      <c r="L7" s="241"/>
      <c r="M7" s="2"/>
    </row>
    <row r="8" spans="1:13" ht="9.9499999999999993" customHeight="1">
      <c r="A8" s="2"/>
      <c r="B8" s="1"/>
      <c r="C8" s="3"/>
      <c r="D8" s="13"/>
      <c r="E8" s="109"/>
      <c r="F8" s="109"/>
      <c r="G8" s="109"/>
      <c r="H8" s="109"/>
      <c r="I8" s="109"/>
      <c r="J8" s="109"/>
      <c r="K8" s="109"/>
      <c r="L8" s="241"/>
      <c r="M8" s="2"/>
    </row>
    <row r="9" spans="1:13" ht="14.1" customHeight="1">
      <c r="A9" s="2"/>
      <c r="B9" s="1"/>
      <c r="C9" s="3" t="s">
        <v>451</v>
      </c>
      <c r="D9" s="13"/>
      <c r="E9" s="109">
        <v>360</v>
      </c>
      <c r="F9" s="109">
        <v>387</v>
      </c>
      <c r="G9" s="109">
        <v>355</v>
      </c>
      <c r="H9" s="109">
        <v>326</v>
      </c>
      <c r="I9" s="109">
        <v>347</v>
      </c>
      <c r="J9" s="109">
        <v>321</v>
      </c>
      <c r="K9" s="109">
        <v>265</v>
      </c>
      <c r="L9" s="241"/>
      <c r="M9" s="2"/>
    </row>
    <row r="10" spans="1:13" ht="9.9499999999999993" customHeight="1">
      <c r="A10" s="2"/>
      <c r="B10" s="1"/>
      <c r="C10" s="3"/>
      <c r="D10" s="13"/>
      <c r="E10" s="109"/>
      <c r="F10" s="109"/>
      <c r="G10" s="109"/>
      <c r="H10" s="109"/>
      <c r="I10" s="109"/>
      <c r="J10" s="109"/>
      <c r="K10" s="109"/>
      <c r="L10" s="241"/>
      <c r="M10" s="2"/>
    </row>
    <row r="11" spans="1:13" ht="14.1" customHeight="1">
      <c r="A11" s="2"/>
      <c r="B11" s="1"/>
      <c r="C11" s="3" t="s">
        <v>450</v>
      </c>
      <c r="D11" s="13"/>
      <c r="E11" s="109">
        <v>35</v>
      </c>
      <c r="F11" s="109">
        <v>33</v>
      </c>
      <c r="G11" s="109">
        <v>34</v>
      </c>
      <c r="H11" s="109">
        <v>30</v>
      </c>
      <c r="I11" s="109">
        <v>32</v>
      </c>
      <c r="J11" s="109">
        <v>33</v>
      </c>
      <c r="K11" s="109">
        <v>32</v>
      </c>
      <c r="L11" s="241"/>
      <c r="M11" s="2"/>
    </row>
    <row r="12" spans="1:13" ht="9.9499999999999993" customHeight="1">
      <c r="A12" s="2"/>
      <c r="B12" s="1"/>
      <c r="C12" s="2"/>
      <c r="D12" s="7"/>
      <c r="E12" s="109"/>
      <c r="F12" s="109"/>
      <c r="G12" s="109"/>
      <c r="H12" s="109"/>
      <c r="I12" s="109"/>
      <c r="J12" s="109"/>
      <c r="K12" s="109"/>
      <c r="L12" s="241"/>
      <c r="M12" s="2"/>
    </row>
    <row r="13" spans="1:13">
      <c r="A13" s="2"/>
      <c r="B13" s="1"/>
      <c r="C13" s="3" t="s">
        <v>552</v>
      </c>
      <c r="D13" s="13"/>
      <c r="E13" s="109">
        <v>99</v>
      </c>
      <c r="F13" s="109">
        <v>92</v>
      </c>
      <c r="G13" s="109">
        <v>93</v>
      </c>
      <c r="H13" s="109">
        <v>107</v>
      </c>
      <c r="I13" s="109">
        <v>103</v>
      </c>
      <c r="J13" s="109">
        <v>118</v>
      </c>
      <c r="K13" s="109">
        <v>124</v>
      </c>
      <c r="L13" s="241"/>
      <c r="M13" s="2"/>
    </row>
    <row r="14" spans="1:13">
      <c r="A14" s="2"/>
      <c r="B14" s="1"/>
      <c r="C14" s="3" t="s">
        <v>518</v>
      </c>
      <c r="D14" s="13"/>
      <c r="E14" s="36">
        <v>30</v>
      </c>
      <c r="F14" s="36">
        <v>71</v>
      </c>
      <c r="G14" s="36">
        <v>167</v>
      </c>
      <c r="H14" s="36">
        <v>278</v>
      </c>
      <c r="I14" s="36">
        <v>443</v>
      </c>
      <c r="J14" s="36">
        <v>533</v>
      </c>
      <c r="K14" s="36">
        <v>467</v>
      </c>
      <c r="L14" s="241"/>
      <c r="M14" s="2"/>
    </row>
    <row r="15" spans="1:13">
      <c r="A15" s="2"/>
      <c r="B15" s="1"/>
      <c r="C15" s="3" t="s">
        <v>454</v>
      </c>
      <c r="D15" s="13"/>
      <c r="E15" s="109">
        <v>10</v>
      </c>
      <c r="F15" s="109">
        <v>8</v>
      </c>
      <c r="G15" s="109">
        <v>8</v>
      </c>
      <c r="H15" s="109">
        <v>4</v>
      </c>
      <c r="I15" s="109">
        <v>5</v>
      </c>
      <c r="J15" s="109">
        <v>32</v>
      </c>
      <c r="K15" s="109">
        <v>27</v>
      </c>
      <c r="L15" s="241"/>
      <c r="M15" s="2"/>
    </row>
    <row r="16" spans="1:13">
      <c r="A16" s="2"/>
      <c r="B16" s="1"/>
      <c r="C16" s="3" t="s">
        <v>453</v>
      </c>
      <c r="D16" s="13"/>
      <c r="E16" s="110">
        <v>13</v>
      </c>
      <c r="F16" s="110">
        <v>25</v>
      </c>
      <c r="G16" s="110">
        <v>38</v>
      </c>
      <c r="H16" s="110">
        <v>46</v>
      </c>
      <c r="I16" s="110">
        <v>59</v>
      </c>
      <c r="J16" s="110">
        <v>81</v>
      </c>
      <c r="K16" s="110">
        <v>83</v>
      </c>
      <c r="L16" s="241"/>
      <c r="M16" s="2"/>
    </row>
    <row r="17" spans="1:13">
      <c r="A17" s="2"/>
      <c r="B17" s="1"/>
      <c r="C17" s="24" t="s">
        <v>519</v>
      </c>
      <c r="D17" s="13"/>
      <c r="E17" s="73">
        <v>3</v>
      </c>
      <c r="F17" s="73">
        <v>5</v>
      </c>
      <c r="G17" s="73">
        <v>9</v>
      </c>
      <c r="H17" s="73">
        <v>16</v>
      </c>
      <c r="I17" s="73">
        <v>9</v>
      </c>
      <c r="J17" s="73">
        <v>15</v>
      </c>
      <c r="K17" s="73">
        <v>17</v>
      </c>
      <c r="L17" s="241"/>
      <c r="M17" s="2"/>
    </row>
    <row r="18" spans="1:13">
      <c r="A18" s="2"/>
      <c r="B18" s="1"/>
      <c r="C18" s="3" t="s">
        <v>452</v>
      </c>
      <c r="D18" s="13"/>
      <c r="E18" s="73">
        <v>0</v>
      </c>
      <c r="F18" s="73">
        <v>0</v>
      </c>
      <c r="G18" s="73">
        <v>0</v>
      </c>
      <c r="H18" s="73">
        <v>0</v>
      </c>
      <c r="I18" s="73" t="s">
        <v>4</v>
      </c>
      <c r="J18" s="73">
        <v>0</v>
      </c>
      <c r="K18" s="73">
        <v>0</v>
      </c>
      <c r="L18" s="241"/>
      <c r="M18" s="2"/>
    </row>
    <row r="19" spans="1:13">
      <c r="A19" s="2"/>
      <c r="B19" s="1"/>
      <c r="C19" s="242" t="s">
        <v>455</v>
      </c>
      <c r="D19" s="13"/>
      <c r="E19" s="73">
        <v>0</v>
      </c>
      <c r="F19" s="73">
        <v>0</v>
      </c>
      <c r="G19" s="73">
        <v>0</v>
      </c>
      <c r="H19" s="73">
        <v>0</v>
      </c>
      <c r="I19" s="73" t="s">
        <v>4</v>
      </c>
      <c r="J19" s="73">
        <v>2</v>
      </c>
      <c r="K19" s="73">
        <v>0</v>
      </c>
      <c r="L19" s="241"/>
      <c r="M19" s="2"/>
    </row>
    <row r="20" spans="1:13">
      <c r="A20" s="2"/>
      <c r="B20" s="1"/>
      <c r="C20" s="3" t="s">
        <v>520</v>
      </c>
      <c r="D20" s="13"/>
      <c r="E20" s="73">
        <v>0</v>
      </c>
      <c r="F20" s="73">
        <v>0</v>
      </c>
      <c r="G20" s="73">
        <v>0</v>
      </c>
      <c r="H20" s="73">
        <v>0</v>
      </c>
      <c r="I20" s="73" t="s">
        <v>4</v>
      </c>
      <c r="J20" s="73">
        <v>0</v>
      </c>
      <c r="K20" s="73">
        <v>0</v>
      </c>
      <c r="L20" s="241"/>
      <c r="M20" s="2"/>
    </row>
    <row r="21" spans="1:13">
      <c r="A21" s="2"/>
      <c r="B21" s="1"/>
      <c r="C21" s="3" t="s">
        <v>514</v>
      </c>
      <c r="D21" s="13"/>
      <c r="E21" s="73">
        <v>1</v>
      </c>
      <c r="F21" s="73">
        <v>2</v>
      </c>
      <c r="G21" s="73">
        <v>2</v>
      </c>
      <c r="H21" s="73">
        <v>2</v>
      </c>
      <c r="I21" s="73">
        <v>4</v>
      </c>
      <c r="J21" s="73">
        <v>2</v>
      </c>
      <c r="K21" s="73">
        <v>3</v>
      </c>
      <c r="L21" s="241"/>
      <c r="M21" s="2"/>
    </row>
    <row r="22" spans="1:13">
      <c r="A22" s="2"/>
      <c r="B22" s="1"/>
      <c r="C22" s="3" t="s">
        <v>521</v>
      </c>
      <c r="D22" s="13"/>
      <c r="E22" s="73">
        <v>2</v>
      </c>
      <c r="F22" s="73">
        <v>4</v>
      </c>
      <c r="G22" s="73">
        <v>5</v>
      </c>
      <c r="H22" s="73">
        <v>5</v>
      </c>
      <c r="I22" s="73">
        <v>5</v>
      </c>
      <c r="J22" s="73">
        <v>6</v>
      </c>
      <c r="K22" s="73">
        <v>7</v>
      </c>
      <c r="L22" s="241"/>
      <c r="M22" s="2"/>
    </row>
    <row r="23" spans="1:13">
      <c r="A23" s="2"/>
      <c r="B23" s="1"/>
      <c r="C23" s="3" t="s">
        <v>522</v>
      </c>
      <c r="D23" s="13"/>
      <c r="E23" s="73">
        <v>0</v>
      </c>
      <c r="F23" s="73">
        <v>0</v>
      </c>
      <c r="G23" s="73">
        <v>0</v>
      </c>
      <c r="H23" s="73">
        <v>0</v>
      </c>
      <c r="I23" s="73" t="s">
        <v>4</v>
      </c>
      <c r="J23" s="73">
        <v>0</v>
      </c>
      <c r="K23" s="73">
        <v>0</v>
      </c>
      <c r="L23" s="241"/>
      <c r="M23" s="2"/>
    </row>
    <row r="24" spans="1:13">
      <c r="A24" s="2"/>
      <c r="B24" s="1"/>
      <c r="C24" s="3" t="s">
        <v>523</v>
      </c>
      <c r="D24" s="13"/>
      <c r="E24" s="73">
        <v>0</v>
      </c>
      <c r="F24" s="73">
        <v>6</v>
      </c>
      <c r="G24" s="73">
        <v>6</v>
      </c>
      <c r="H24" s="73">
        <v>9</v>
      </c>
      <c r="I24" s="73">
        <v>13</v>
      </c>
      <c r="J24" s="73">
        <v>26</v>
      </c>
      <c r="K24" s="73">
        <v>33</v>
      </c>
      <c r="L24" s="241"/>
      <c r="M24" s="2"/>
    </row>
    <row r="25" spans="1:13" ht="9.9499999999999993" customHeight="1">
      <c r="A25" s="2"/>
      <c r="B25" s="1"/>
      <c r="C25" s="3"/>
      <c r="D25" s="13"/>
      <c r="E25" s="109"/>
      <c r="F25" s="109"/>
      <c r="G25" s="109"/>
      <c r="H25" s="109"/>
      <c r="I25" s="109"/>
      <c r="J25" s="109">
        <v>0</v>
      </c>
      <c r="K25" s="109"/>
      <c r="L25" s="241"/>
      <c r="M25" s="2"/>
    </row>
    <row r="26" spans="1:13">
      <c r="A26" s="2"/>
      <c r="B26" s="1"/>
      <c r="C26" s="3" t="s">
        <v>459</v>
      </c>
      <c r="D26" s="13"/>
      <c r="E26" s="109">
        <v>12</v>
      </c>
      <c r="F26" s="109">
        <v>15</v>
      </c>
      <c r="G26" s="109">
        <v>16</v>
      </c>
      <c r="H26" s="109">
        <v>18</v>
      </c>
      <c r="I26" s="109">
        <v>25</v>
      </c>
      <c r="J26" s="109">
        <v>33</v>
      </c>
      <c r="K26" s="109">
        <v>34</v>
      </c>
      <c r="L26" s="241"/>
      <c r="M26" s="2"/>
    </row>
    <row r="27" spans="1:13">
      <c r="A27" s="2"/>
      <c r="B27" s="1"/>
      <c r="C27" s="3" t="s">
        <v>456</v>
      </c>
      <c r="D27" s="13"/>
      <c r="E27" s="109">
        <v>10</v>
      </c>
      <c r="F27" s="109">
        <v>11</v>
      </c>
      <c r="G27" s="109">
        <v>13</v>
      </c>
      <c r="H27" s="109">
        <v>20</v>
      </c>
      <c r="I27" s="109">
        <v>17</v>
      </c>
      <c r="J27" s="109">
        <v>21</v>
      </c>
      <c r="K27" s="109">
        <v>20</v>
      </c>
      <c r="L27" s="241"/>
      <c r="M27" s="2"/>
    </row>
    <row r="28" spans="1:13">
      <c r="A28" s="2"/>
      <c r="B28" s="1"/>
      <c r="C28" s="3" t="s">
        <v>457</v>
      </c>
      <c r="D28" s="13"/>
      <c r="E28" s="109">
        <v>3</v>
      </c>
      <c r="F28" s="109">
        <v>3</v>
      </c>
      <c r="G28" s="109">
        <v>2</v>
      </c>
      <c r="H28" s="109">
        <v>1</v>
      </c>
      <c r="I28" s="109">
        <v>1</v>
      </c>
      <c r="J28" s="109">
        <v>5</v>
      </c>
      <c r="K28" s="109">
        <v>3</v>
      </c>
      <c r="L28" s="241"/>
      <c r="M28" s="2"/>
    </row>
    <row r="29" spans="1:13">
      <c r="A29" s="2"/>
      <c r="B29" s="1"/>
      <c r="C29" s="3" t="s">
        <v>458</v>
      </c>
      <c r="D29" s="13"/>
      <c r="E29" s="73">
        <v>1</v>
      </c>
      <c r="F29" s="73">
        <v>1</v>
      </c>
      <c r="G29" s="73">
        <v>1</v>
      </c>
      <c r="H29" s="73">
        <v>2</v>
      </c>
      <c r="I29" s="73">
        <v>22</v>
      </c>
      <c r="J29" s="73">
        <v>1</v>
      </c>
      <c r="K29" s="73">
        <v>13</v>
      </c>
      <c r="L29" s="241"/>
      <c r="M29" s="2"/>
    </row>
    <row r="30" spans="1:13">
      <c r="A30" s="2"/>
      <c r="B30" s="1"/>
      <c r="C30" s="3" t="s">
        <v>460</v>
      </c>
      <c r="D30" s="13"/>
      <c r="E30" s="73">
        <v>4</v>
      </c>
      <c r="F30" s="73">
        <v>3</v>
      </c>
      <c r="G30" s="73">
        <v>4</v>
      </c>
      <c r="H30" s="73">
        <v>3</v>
      </c>
      <c r="I30" s="73">
        <v>8</v>
      </c>
      <c r="J30" s="73">
        <v>10</v>
      </c>
      <c r="K30" s="73">
        <v>11</v>
      </c>
      <c r="L30" s="241"/>
      <c r="M30" s="2"/>
    </row>
    <row r="31" spans="1:13">
      <c r="A31" s="2"/>
      <c r="B31" s="1"/>
      <c r="C31" s="24" t="s">
        <v>524</v>
      </c>
      <c r="D31" s="13"/>
      <c r="E31" s="73">
        <v>0</v>
      </c>
      <c r="F31" s="73">
        <v>0</v>
      </c>
      <c r="G31" s="73">
        <v>0</v>
      </c>
      <c r="H31" s="73">
        <v>0</v>
      </c>
      <c r="I31" s="73" t="s">
        <v>4</v>
      </c>
      <c r="J31" s="73">
        <v>0</v>
      </c>
      <c r="K31" s="73">
        <v>0</v>
      </c>
      <c r="L31" s="241"/>
      <c r="M31" s="2"/>
    </row>
    <row r="32" spans="1:13">
      <c r="A32" s="2"/>
      <c r="B32" s="1"/>
      <c r="C32" s="24" t="s">
        <v>525</v>
      </c>
      <c r="D32" s="13"/>
      <c r="E32" s="73">
        <v>0</v>
      </c>
      <c r="F32" s="73">
        <v>0</v>
      </c>
      <c r="G32" s="73">
        <v>0</v>
      </c>
      <c r="H32" s="73">
        <v>0</v>
      </c>
      <c r="I32" s="73" t="s">
        <v>4</v>
      </c>
      <c r="J32" s="73">
        <v>0</v>
      </c>
      <c r="K32" s="73">
        <v>0</v>
      </c>
      <c r="L32" s="241"/>
      <c r="M32" s="2"/>
    </row>
    <row r="33" spans="1:13">
      <c r="A33" s="2"/>
      <c r="B33" s="1"/>
      <c r="C33" s="24" t="s">
        <v>553</v>
      </c>
      <c r="D33" s="13"/>
      <c r="E33" s="73">
        <v>0</v>
      </c>
      <c r="F33" s="73">
        <v>0</v>
      </c>
      <c r="G33" s="73">
        <v>1</v>
      </c>
      <c r="H33" s="73">
        <v>0</v>
      </c>
      <c r="I33" s="73" t="s">
        <v>4</v>
      </c>
      <c r="J33" s="73">
        <v>0</v>
      </c>
      <c r="K33" s="73">
        <v>0</v>
      </c>
      <c r="L33" s="241"/>
      <c r="M33" s="2"/>
    </row>
    <row r="34" spans="1:13">
      <c r="A34" s="2"/>
      <c r="B34" s="1"/>
      <c r="C34" s="3" t="s">
        <v>461</v>
      </c>
      <c r="D34" s="13"/>
      <c r="E34" s="73">
        <v>0</v>
      </c>
      <c r="F34" s="73">
        <v>0</v>
      </c>
      <c r="G34" s="73">
        <v>0</v>
      </c>
      <c r="H34" s="73">
        <v>0</v>
      </c>
      <c r="I34" s="73" t="s">
        <v>4</v>
      </c>
      <c r="J34" s="73">
        <v>0</v>
      </c>
      <c r="K34" s="73">
        <v>0</v>
      </c>
      <c r="L34" s="241"/>
      <c r="M34" s="2"/>
    </row>
    <row r="35" spans="1:13" ht="9.9499999999999993" customHeight="1">
      <c r="A35" s="2"/>
      <c r="B35" s="1"/>
      <c r="C35" s="24"/>
      <c r="D35" s="13"/>
      <c r="E35" s="73"/>
      <c r="F35" s="73"/>
      <c r="G35" s="73"/>
      <c r="H35" s="73"/>
      <c r="I35" s="73"/>
      <c r="J35" s="73"/>
      <c r="K35" s="73"/>
      <c r="L35" s="241"/>
      <c r="M35" s="2"/>
    </row>
    <row r="36" spans="1:13">
      <c r="A36" s="2"/>
      <c r="B36" s="1"/>
      <c r="C36" s="3" t="s">
        <v>462</v>
      </c>
      <c r="D36" s="13"/>
      <c r="E36" s="109">
        <v>3</v>
      </c>
      <c r="F36" s="109">
        <v>4</v>
      </c>
      <c r="G36" s="109">
        <v>3</v>
      </c>
      <c r="H36" s="109">
        <v>4</v>
      </c>
      <c r="I36" s="109">
        <v>7</v>
      </c>
      <c r="J36" s="109">
        <v>5</v>
      </c>
      <c r="K36" s="109">
        <v>4</v>
      </c>
      <c r="L36" s="241"/>
      <c r="M36" s="2"/>
    </row>
    <row r="37" spans="1:13">
      <c r="A37" s="2"/>
      <c r="B37" s="1"/>
      <c r="C37" s="3" t="s">
        <v>463</v>
      </c>
      <c r="D37" s="13"/>
      <c r="E37" s="109">
        <v>1</v>
      </c>
      <c r="F37" s="109">
        <v>1</v>
      </c>
      <c r="G37" s="109">
        <v>1</v>
      </c>
      <c r="H37" s="109">
        <v>2</v>
      </c>
      <c r="I37" s="109">
        <v>3</v>
      </c>
      <c r="J37" s="109">
        <v>3</v>
      </c>
      <c r="K37" s="109">
        <v>2</v>
      </c>
      <c r="L37" s="241"/>
      <c r="M37" s="2"/>
    </row>
    <row r="38" spans="1:13">
      <c r="A38" s="2"/>
      <c r="B38" s="1"/>
      <c r="C38" s="24" t="s">
        <v>526</v>
      </c>
      <c r="D38" s="13"/>
      <c r="E38" s="73">
        <v>1</v>
      </c>
      <c r="F38" s="73">
        <v>0</v>
      </c>
      <c r="G38" s="73">
        <v>0</v>
      </c>
      <c r="H38" s="73">
        <v>0</v>
      </c>
      <c r="I38" s="73" t="s">
        <v>4</v>
      </c>
      <c r="J38" s="73">
        <v>0</v>
      </c>
      <c r="K38" s="73">
        <v>0</v>
      </c>
      <c r="L38" s="241"/>
      <c r="M38" s="2"/>
    </row>
    <row r="39" spans="1:13">
      <c r="A39" s="2"/>
      <c r="B39" s="1"/>
      <c r="C39" s="3" t="s">
        <v>527</v>
      </c>
      <c r="D39" s="13"/>
      <c r="E39" s="111">
        <v>0</v>
      </c>
      <c r="F39" s="111">
        <v>0</v>
      </c>
      <c r="G39" s="111">
        <v>0</v>
      </c>
      <c r="H39" s="111">
        <v>0</v>
      </c>
      <c r="I39" s="111" t="s">
        <v>4</v>
      </c>
      <c r="J39" s="111">
        <v>0</v>
      </c>
      <c r="K39" s="111">
        <v>0</v>
      </c>
      <c r="L39" s="241"/>
      <c r="M39" s="2"/>
    </row>
    <row r="40" spans="1:13">
      <c r="A40" s="2"/>
      <c r="B40" s="1"/>
      <c r="C40" s="24" t="s">
        <v>528</v>
      </c>
      <c r="D40" s="13"/>
      <c r="E40" s="73">
        <v>2</v>
      </c>
      <c r="F40" s="73">
        <v>2</v>
      </c>
      <c r="G40" s="73">
        <v>2</v>
      </c>
      <c r="H40" s="73">
        <v>1</v>
      </c>
      <c r="I40" s="73">
        <v>1</v>
      </c>
      <c r="J40" s="73">
        <v>1</v>
      </c>
      <c r="K40" s="73">
        <v>2</v>
      </c>
      <c r="L40" s="241"/>
      <c r="M40" s="2"/>
    </row>
    <row r="41" spans="1:13">
      <c r="A41" s="2"/>
      <c r="B41" s="1"/>
      <c r="C41" s="3" t="s">
        <v>464</v>
      </c>
      <c r="D41" s="13"/>
      <c r="E41" s="109">
        <v>1</v>
      </c>
      <c r="F41" s="109">
        <v>1</v>
      </c>
      <c r="G41" s="109">
        <v>1</v>
      </c>
      <c r="H41" s="109">
        <v>1</v>
      </c>
      <c r="I41" s="109">
        <v>1</v>
      </c>
      <c r="J41" s="109">
        <v>1</v>
      </c>
      <c r="K41" s="109">
        <v>1</v>
      </c>
      <c r="L41" s="241"/>
      <c r="M41" s="2"/>
    </row>
    <row r="42" spans="1:13">
      <c r="A42" s="2"/>
      <c r="B42" s="1"/>
      <c r="C42" s="3" t="s">
        <v>529</v>
      </c>
      <c r="D42" s="13"/>
      <c r="E42" s="112">
        <v>2</v>
      </c>
      <c r="F42" s="112">
        <v>2</v>
      </c>
      <c r="G42" s="112">
        <v>1</v>
      </c>
      <c r="H42" s="112">
        <v>1</v>
      </c>
      <c r="I42" s="112">
        <v>1</v>
      </c>
      <c r="J42" s="112">
        <v>1</v>
      </c>
      <c r="K42" s="112">
        <v>1</v>
      </c>
      <c r="L42" s="241"/>
      <c r="M42" s="2"/>
    </row>
    <row r="43" spans="1:13">
      <c r="A43" s="2"/>
      <c r="B43" s="1"/>
      <c r="C43" s="3" t="s">
        <v>554</v>
      </c>
      <c r="D43" s="13"/>
      <c r="E43" s="73">
        <v>0</v>
      </c>
      <c r="F43" s="73">
        <v>0</v>
      </c>
      <c r="G43" s="73">
        <v>1</v>
      </c>
      <c r="H43" s="112">
        <v>0</v>
      </c>
      <c r="I43" s="112"/>
      <c r="J43" s="112">
        <v>0</v>
      </c>
      <c r="K43" s="112">
        <v>0</v>
      </c>
      <c r="L43" s="241"/>
      <c r="M43" s="2"/>
    </row>
    <row r="44" spans="1:13">
      <c r="A44" s="2"/>
      <c r="B44" s="1"/>
      <c r="C44" s="24" t="s">
        <v>530</v>
      </c>
      <c r="D44" s="13"/>
      <c r="E44" s="73">
        <v>0</v>
      </c>
      <c r="F44" s="73">
        <v>0</v>
      </c>
      <c r="G44" s="73">
        <v>0</v>
      </c>
      <c r="H44" s="73">
        <v>0</v>
      </c>
      <c r="I44" s="73" t="s">
        <v>4</v>
      </c>
      <c r="J44" s="73">
        <v>0</v>
      </c>
      <c r="K44" s="73">
        <v>0</v>
      </c>
      <c r="L44" s="241"/>
      <c r="M44" s="2"/>
    </row>
    <row r="45" spans="1:13">
      <c r="A45" s="2"/>
      <c r="B45" s="1"/>
      <c r="C45" s="2"/>
      <c r="D45" s="7"/>
      <c r="E45" s="109"/>
      <c r="F45" s="109"/>
      <c r="G45" s="109"/>
      <c r="H45" s="109"/>
      <c r="I45" s="109"/>
      <c r="J45" s="109"/>
      <c r="K45" s="109"/>
      <c r="L45" s="241"/>
      <c r="M45" s="2"/>
    </row>
    <row r="46" spans="1:13" ht="9.9499999999999993" customHeight="1">
      <c r="A46" s="2"/>
      <c r="B46" s="1"/>
      <c r="C46" s="160" t="s">
        <v>465</v>
      </c>
      <c r="D46" s="13"/>
      <c r="E46" s="109">
        <v>1</v>
      </c>
      <c r="F46" s="109">
        <v>1</v>
      </c>
      <c r="G46" s="109">
        <v>1</v>
      </c>
      <c r="H46" s="109">
        <v>3</v>
      </c>
      <c r="I46" s="109">
        <v>2</v>
      </c>
      <c r="J46" s="109">
        <v>1</v>
      </c>
      <c r="K46" s="109">
        <v>2</v>
      </c>
      <c r="L46" s="241"/>
      <c r="M46" s="2"/>
    </row>
    <row r="47" spans="1:13">
      <c r="A47" s="2"/>
      <c r="B47" s="1"/>
      <c r="C47" s="242" t="s">
        <v>466</v>
      </c>
      <c r="D47" s="13"/>
      <c r="E47" s="73">
        <v>0</v>
      </c>
      <c r="F47" s="73">
        <v>0</v>
      </c>
      <c r="G47" s="73">
        <v>0</v>
      </c>
      <c r="H47" s="73">
        <v>0</v>
      </c>
      <c r="I47" s="73" t="s">
        <v>4</v>
      </c>
      <c r="J47" s="73">
        <v>0</v>
      </c>
      <c r="K47" s="73">
        <v>0</v>
      </c>
      <c r="L47" s="241"/>
      <c r="M47" s="2"/>
    </row>
    <row r="48" spans="1:13">
      <c r="A48" s="2"/>
      <c r="B48" s="1"/>
      <c r="C48" s="3" t="s">
        <v>531</v>
      </c>
      <c r="D48" s="13"/>
      <c r="E48" s="73">
        <v>0</v>
      </c>
      <c r="F48" s="73">
        <v>0</v>
      </c>
      <c r="G48" s="73">
        <v>0</v>
      </c>
      <c r="H48" s="73">
        <v>0</v>
      </c>
      <c r="I48" s="73" t="s">
        <v>4</v>
      </c>
      <c r="J48" s="73">
        <v>0</v>
      </c>
      <c r="K48" s="73">
        <v>0</v>
      </c>
      <c r="L48" s="241"/>
      <c r="M48" s="2"/>
    </row>
    <row r="49" spans="1:13">
      <c r="A49" s="2"/>
      <c r="B49" s="1"/>
      <c r="C49" s="24" t="s">
        <v>532</v>
      </c>
      <c r="D49" s="13"/>
      <c r="E49" s="73">
        <v>0</v>
      </c>
      <c r="F49" s="73">
        <v>4</v>
      </c>
      <c r="G49" s="73">
        <v>4</v>
      </c>
      <c r="H49" s="73">
        <v>4</v>
      </c>
      <c r="I49" s="73">
        <v>24</v>
      </c>
      <c r="J49" s="73">
        <v>83</v>
      </c>
      <c r="K49" s="73">
        <v>14</v>
      </c>
      <c r="L49" s="241"/>
      <c r="M49" s="2"/>
    </row>
    <row r="50" spans="1:13">
      <c r="A50" s="2"/>
      <c r="B50" s="1"/>
      <c r="C50" s="19" t="s">
        <v>473</v>
      </c>
      <c r="D50" s="13"/>
      <c r="E50" s="73">
        <v>0</v>
      </c>
      <c r="F50" s="73">
        <v>0</v>
      </c>
      <c r="G50" s="73">
        <v>0</v>
      </c>
      <c r="H50" s="73">
        <v>0</v>
      </c>
      <c r="I50" s="73">
        <v>1</v>
      </c>
      <c r="J50" s="73">
        <v>1</v>
      </c>
      <c r="K50" s="73">
        <v>1</v>
      </c>
      <c r="L50" s="241"/>
      <c r="M50" s="2"/>
    </row>
    <row r="51" spans="1:13">
      <c r="A51" s="2"/>
      <c r="B51" s="1"/>
      <c r="C51" s="24" t="s">
        <v>533</v>
      </c>
      <c r="D51" s="13"/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241"/>
      <c r="M51" s="2"/>
    </row>
    <row r="52" spans="1:13">
      <c r="A52" s="2"/>
      <c r="B52" s="1"/>
      <c r="C52" s="24" t="s">
        <v>534</v>
      </c>
      <c r="D52" s="13"/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241"/>
      <c r="M52" s="2"/>
    </row>
    <row r="53" spans="1:13">
      <c r="A53" s="2"/>
      <c r="B53" s="1"/>
      <c r="C53" s="24" t="s">
        <v>535</v>
      </c>
      <c r="D53" s="13"/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241"/>
      <c r="M53" s="2"/>
    </row>
    <row r="54" spans="1:13">
      <c r="A54" s="2"/>
      <c r="B54" s="1"/>
      <c r="C54" s="24" t="s">
        <v>536</v>
      </c>
      <c r="D54" s="13"/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241"/>
      <c r="M54" s="2"/>
    </row>
    <row r="55" spans="1:13">
      <c r="A55" s="2"/>
      <c r="B55" s="1"/>
      <c r="C55" s="24" t="s">
        <v>537</v>
      </c>
      <c r="D55" s="13"/>
      <c r="E55" s="110">
        <v>0</v>
      </c>
      <c r="F55" s="110">
        <v>0</v>
      </c>
      <c r="G55" s="110">
        <v>0</v>
      </c>
      <c r="H55" s="110">
        <v>0</v>
      </c>
      <c r="I55" s="73">
        <v>0</v>
      </c>
      <c r="J55" s="110">
        <v>0</v>
      </c>
      <c r="K55" s="110">
        <v>0</v>
      </c>
      <c r="L55" s="241"/>
      <c r="M55" s="2"/>
    </row>
    <row r="56" spans="1:13">
      <c r="A56" s="2"/>
      <c r="B56" s="1"/>
      <c r="C56" s="24" t="s">
        <v>538</v>
      </c>
      <c r="D56" s="13"/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241"/>
      <c r="M56" s="2"/>
    </row>
    <row r="57" spans="1:13">
      <c r="A57" s="2"/>
      <c r="B57" s="1"/>
      <c r="C57" s="24" t="s">
        <v>539</v>
      </c>
      <c r="D57" s="13"/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241"/>
      <c r="M57" s="2"/>
    </row>
    <row r="58" spans="1:13">
      <c r="A58" s="2"/>
      <c r="B58" s="1"/>
      <c r="C58" s="24" t="s">
        <v>540</v>
      </c>
      <c r="D58" s="13"/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241"/>
      <c r="M58" s="2"/>
    </row>
    <row r="59" spans="1:13">
      <c r="A59" s="2"/>
      <c r="B59" s="1"/>
      <c r="C59" s="126" t="s">
        <v>543</v>
      </c>
      <c r="D59" s="13"/>
      <c r="E59" s="110">
        <v>2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241"/>
      <c r="M59" s="2"/>
    </row>
    <row r="60" spans="1:13">
      <c r="A60" s="2"/>
      <c r="B60" s="1"/>
      <c r="C60" s="24" t="s">
        <v>565</v>
      </c>
      <c r="D60" s="13"/>
      <c r="E60" s="110">
        <v>0</v>
      </c>
      <c r="F60" s="73">
        <v>0</v>
      </c>
      <c r="G60" s="73">
        <v>0</v>
      </c>
      <c r="H60" s="73">
        <v>1</v>
      </c>
      <c r="I60" s="73">
        <v>1</v>
      </c>
      <c r="J60" s="73">
        <v>0</v>
      </c>
      <c r="K60" s="73">
        <v>0</v>
      </c>
      <c r="L60" s="241"/>
      <c r="M60" s="2"/>
    </row>
    <row r="61" spans="1:13">
      <c r="A61" s="2"/>
      <c r="B61" s="1"/>
      <c r="C61" s="24" t="s">
        <v>566</v>
      </c>
      <c r="D61" s="13"/>
      <c r="E61" s="110">
        <v>0</v>
      </c>
      <c r="F61" s="73">
        <v>0</v>
      </c>
      <c r="G61" s="73">
        <v>0</v>
      </c>
      <c r="H61" s="73">
        <v>1</v>
      </c>
      <c r="I61" s="73">
        <v>1</v>
      </c>
      <c r="J61" s="73">
        <v>5</v>
      </c>
      <c r="K61" s="73">
        <v>4</v>
      </c>
      <c r="L61" s="241"/>
      <c r="M61" s="2"/>
    </row>
    <row r="62" spans="1:13">
      <c r="A62" s="2"/>
      <c r="B62" s="1"/>
      <c r="C62" s="24" t="s">
        <v>544</v>
      </c>
      <c r="D62" s="13"/>
      <c r="E62" s="110">
        <v>1</v>
      </c>
      <c r="F62" s="73">
        <v>1</v>
      </c>
      <c r="G62" s="73">
        <v>1</v>
      </c>
      <c r="H62" s="73">
        <v>1</v>
      </c>
      <c r="I62" s="73">
        <v>1</v>
      </c>
      <c r="J62" s="73">
        <v>1</v>
      </c>
      <c r="K62" s="73">
        <v>1</v>
      </c>
      <c r="L62" s="241"/>
      <c r="M62" s="2"/>
    </row>
    <row r="63" spans="1:13">
      <c r="A63" s="2"/>
      <c r="B63" s="1"/>
      <c r="C63" s="24" t="s">
        <v>568</v>
      </c>
      <c r="D63" s="13"/>
      <c r="E63" s="110">
        <v>0</v>
      </c>
      <c r="F63" s="73">
        <v>0</v>
      </c>
      <c r="G63" s="73">
        <v>0</v>
      </c>
      <c r="H63" s="73">
        <v>0</v>
      </c>
      <c r="I63" s="73">
        <v>2</v>
      </c>
      <c r="J63" s="73">
        <v>2</v>
      </c>
      <c r="K63" s="73">
        <v>1</v>
      </c>
      <c r="L63" s="241"/>
      <c r="M63" s="2"/>
    </row>
    <row r="64" spans="1:13">
      <c r="A64" s="2"/>
      <c r="B64" s="1"/>
      <c r="C64" s="24" t="s">
        <v>569</v>
      </c>
      <c r="D64" s="13"/>
      <c r="E64" s="110">
        <v>0</v>
      </c>
      <c r="F64" s="73">
        <v>0</v>
      </c>
      <c r="G64" s="73">
        <v>0</v>
      </c>
      <c r="H64" s="73">
        <v>0</v>
      </c>
      <c r="I64" s="73">
        <v>1</v>
      </c>
      <c r="J64" s="73">
        <v>1</v>
      </c>
      <c r="K64" s="73">
        <v>1</v>
      </c>
      <c r="L64" s="241"/>
      <c r="M64" s="2"/>
    </row>
    <row r="65" spans="1:13">
      <c r="A65" s="2"/>
      <c r="B65" s="1"/>
      <c r="C65" s="24" t="s">
        <v>575</v>
      </c>
      <c r="D65" s="13"/>
      <c r="E65" s="110">
        <v>0</v>
      </c>
      <c r="F65" s="73">
        <v>0</v>
      </c>
      <c r="G65" s="73">
        <v>0</v>
      </c>
      <c r="H65" s="73">
        <v>0</v>
      </c>
      <c r="I65" s="73">
        <v>0</v>
      </c>
      <c r="J65" s="73">
        <v>1</v>
      </c>
      <c r="K65" s="73">
        <v>1</v>
      </c>
      <c r="L65" s="241"/>
      <c r="M65" s="2"/>
    </row>
    <row r="66" spans="1:13">
      <c r="A66" s="2"/>
      <c r="B66" s="1"/>
      <c r="C66" s="134" t="s">
        <v>574</v>
      </c>
      <c r="D66" s="13"/>
      <c r="E66" s="110">
        <v>0</v>
      </c>
      <c r="F66" s="73">
        <v>0</v>
      </c>
      <c r="G66" s="73">
        <v>0</v>
      </c>
      <c r="H66" s="73">
        <v>0</v>
      </c>
      <c r="I66" s="73">
        <v>0</v>
      </c>
      <c r="J66" s="73">
        <v>1</v>
      </c>
      <c r="K66" s="73">
        <v>1</v>
      </c>
      <c r="L66" s="241"/>
      <c r="M66" s="2"/>
    </row>
    <row r="67" spans="1:13" ht="6.75" customHeight="1" thickBot="1">
      <c r="A67" s="2"/>
      <c r="B67" s="6"/>
      <c r="C67" s="6"/>
      <c r="D67" s="163"/>
      <c r="E67" s="107"/>
      <c r="F67" s="107"/>
      <c r="G67" s="107"/>
      <c r="H67" s="48"/>
      <c r="I67" s="107"/>
      <c r="J67" s="107"/>
      <c r="K67" s="107"/>
      <c r="L67" s="243"/>
      <c r="M67" s="2"/>
    </row>
    <row r="68" spans="1:13" ht="13.5" customHeight="1">
      <c r="A68" s="2"/>
      <c r="B68" s="1"/>
      <c r="C68" s="1" t="s">
        <v>46</v>
      </c>
      <c r="D68" s="3"/>
      <c r="E68" s="1"/>
      <c r="F68" s="1"/>
      <c r="G68" s="1"/>
      <c r="H68" s="1"/>
      <c r="I68" s="1"/>
      <c r="J68" s="1"/>
      <c r="K68" s="1"/>
      <c r="L68" s="1"/>
      <c r="M68" s="2"/>
    </row>
    <row r="69" spans="1:13">
      <c r="A69" s="2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2"/>
    </row>
  </sheetData>
  <mergeCells count="3">
    <mergeCell ref="I3:L3"/>
    <mergeCell ref="B4:D4"/>
    <mergeCell ref="F2:I2"/>
  </mergeCells>
  <phoneticPr fontId="12"/>
  <pageMargins left="0.78740157480314965" right="0.78740157480314965" top="0.78740157480314965" bottom="0.78740157480314965" header="0.39370078740157483" footer="0.39370078740157483"/>
  <pageSetup paperSize="9" scale="86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2-32</vt:lpstr>
      <vt:lpstr>2-33</vt:lpstr>
      <vt:lpstr>2-34</vt:lpstr>
      <vt:lpstr>2-35</vt:lpstr>
      <vt:lpstr>2-36</vt:lpstr>
      <vt:lpstr>2-37</vt:lpstr>
      <vt:lpstr>2-38</vt:lpstr>
      <vt:lpstr>2-39</vt:lpstr>
      <vt:lpstr>2-40</vt:lpstr>
      <vt:lpstr>'2-32'!Print_Area</vt:lpstr>
      <vt:lpstr>'2-34'!Print_Area</vt:lpstr>
      <vt:lpstr>'2-35'!Print_Area</vt:lpstr>
      <vt:lpstr>'2-36'!Print_Area</vt:lpstr>
      <vt:lpstr>'2-40'!Print_Area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2021-09-15T01:54:54Z</cp:lastPrinted>
  <dcterms:created xsi:type="dcterms:W3CDTF">1998-12-10T04:54:32Z</dcterms:created>
  <dcterms:modified xsi:type="dcterms:W3CDTF">2021-09-17T01:39:06Z</dcterms:modified>
</cp:coreProperties>
</file>